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смета\все сметы и отчеты\2021-2022\"/>
    </mc:Choice>
  </mc:AlternateContent>
  <xr:revisionPtr revIDLastSave="0" documentId="13_ncr:1_{A94D46D6-4F17-43FF-8B00-EAB12B0B74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сполнение сметы" sheetId="8" r:id="rId1"/>
    <sheet name="План на 2020-2021 гг" sheetId="9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9" l="1"/>
  <c r="D51" i="9"/>
  <c r="D46" i="9"/>
  <c r="C40" i="9"/>
  <c r="D39" i="9"/>
  <c r="D38" i="9"/>
  <c r="D37" i="9"/>
  <c r="D36" i="9"/>
  <c r="D35" i="9"/>
  <c r="D34" i="9"/>
  <c r="D33" i="9"/>
  <c r="D32" i="9"/>
  <c r="D31" i="9"/>
  <c r="C31" i="9"/>
  <c r="D30" i="9"/>
  <c r="D29" i="9"/>
  <c r="D28" i="9"/>
  <c r="C27" i="9"/>
  <c r="D26" i="9"/>
  <c r="D25" i="9"/>
  <c r="D24" i="9"/>
  <c r="D23" i="9"/>
  <c r="D40" i="9" s="1"/>
  <c r="D22" i="9"/>
  <c r="D16" i="9"/>
  <c r="D15" i="9"/>
  <c r="D14" i="9"/>
  <c r="D13" i="9"/>
  <c r="D12" i="9"/>
  <c r="D11" i="9"/>
  <c r="C11" i="9"/>
  <c r="C17" i="9" s="1"/>
  <c r="C41" i="9" s="1"/>
  <c r="C71" i="9" s="1"/>
  <c r="D10" i="9"/>
  <c r="D9" i="9"/>
  <c r="D17" i="9" s="1"/>
  <c r="D41" i="9" s="1"/>
  <c r="D71" i="9" s="1"/>
  <c r="C8" i="9"/>
  <c r="AC46" i="8" l="1"/>
  <c r="AB46" i="8"/>
  <c r="AA46" i="8"/>
  <c r="Z46" i="8"/>
  <c r="AD42" i="8" l="1"/>
  <c r="AD45" i="8"/>
  <c r="AD44" i="8"/>
  <c r="AD43" i="8"/>
  <c r="AD41" i="8"/>
  <c r="AD46" i="8" l="1"/>
  <c r="AC37" i="8" l="1"/>
  <c r="AC47" i="8" s="1"/>
  <c r="AC52" i="8" s="1"/>
  <c r="AB37" i="8"/>
  <c r="AB47" i="8" s="1"/>
  <c r="AB52" i="8" s="1"/>
  <c r="AA37" i="8"/>
  <c r="AA47" i="8" s="1"/>
  <c r="AA52" i="8" s="1"/>
  <c r="Z37" i="8"/>
  <c r="Z47" i="8" s="1"/>
  <c r="Z52" i="8" s="1"/>
  <c r="AD36" i="8"/>
  <c r="AD51" i="8"/>
  <c r="AD34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C5" i="8"/>
  <c r="AB5" i="8"/>
  <c r="AA5" i="8"/>
  <c r="Z5" i="8"/>
  <c r="V20" i="8"/>
  <c r="Y20" i="8" s="1"/>
  <c r="V28" i="8"/>
  <c r="W28" i="8" s="1"/>
  <c r="AD52" i="8" l="1"/>
  <c r="AD47" i="8"/>
  <c r="AD5" i="8"/>
  <c r="Y28" i="8"/>
  <c r="X28" i="8"/>
  <c r="X20" i="8"/>
  <c r="W20" i="8"/>
  <c r="AD37" i="8"/>
  <c r="F9" i="8" l="1"/>
  <c r="U41" i="8" l="1"/>
  <c r="F21" i="8"/>
  <c r="L21" i="8"/>
  <c r="R21" i="8"/>
  <c r="R24" i="8"/>
  <c r="R16" i="8"/>
  <c r="L16" i="8"/>
  <c r="F16" i="8"/>
  <c r="Y41" i="8" l="1"/>
  <c r="V41" i="8"/>
  <c r="R9" i="8"/>
  <c r="R10" i="8"/>
  <c r="L9" i="8"/>
  <c r="L10" i="8"/>
  <c r="F30" i="8"/>
  <c r="X41" i="8" l="1"/>
  <c r="W41" i="8"/>
  <c r="V30" i="8"/>
  <c r="Y30" i="8" l="1"/>
  <c r="W30" i="8"/>
  <c r="X30" i="8"/>
  <c r="V32" i="8"/>
  <c r="V31" i="8"/>
  <c r="W31" i="8" l="1"/>
  <c r="X31" i="8"/>
  <c r="Y31" i="8"/>
  <c r="X32" i="8"/>
  <c r="W32" i="8"/>
  <c r="Y32" i="8"/>
  <c r="G32" i="8"/>
  <c r="F32" i="8"/>
  <c r="F31" i="8"/>
  <c r="G31" i="8"/>
  <c r="V25" i="8"/>
  <c r="V23" i="8"/>
  <c r="V22" i="8"/>
  <c r="V21" i="8"/>
  <c r="V14" i="8"/>
  <c r="V13" i="8"/>
  <c r="V29" i="8"/>
  <c r="V27" i="8"/>
  <c r="V26" i="8"/>
  <c r="V24" i="8"/>
  <c r="V17" i="8"/>
  <c r="W27" i="8" l="1"/>
  <c r="X27" i="8"/>
  <c r="Y27" i="8"/>
  <c r="Y29" i="8"/>
  <c r="W29" i="8"/>
  <c r="X29" i="8"/>
  <c r="Y25" i="8"/>
  <c r="W25" i="8"/>
  <c r="X25" i="8"/>
  <c r="Y23" i="8"/>
  <c r="W23" i="8"/>
  <c r="X23" i="8"/>
  <c r="Y17" i="8"/>
  <c r="W17" i="8"/>
  <c r="X17" i="8"/>
  <c r="X14" i="8"/>
  <c r="W14" i="8"/>
  <c r="Y14" i="8"/>
  <c r="W13" i="8"/>
  <c r="Y13" i="8"/>
  <c r="X13" i="8"/>
  <c r="Y24" i="8"/>
  <c r="X24" i="8"/>
  <c r="W24" i="8"/>
  <c r="W21" i="8"/>
  <c r="X21" i="8"/>
  <c r="Y21" i="8"/>
  <c r="X26" i="8"/>
  <c r="Y26" i="8"/>
  <c r="W26" i="8"/>
  <c r="Y22" i="8"/>
  <c r="W22" i="8"/>
  <c r="X22" i="8"/>
  <c r="L31" i="8"/>
  <c r="M31" i="8"/>
  <c r="L32" i="8"/>
  <c r="M32" i="8"/>
  <c r="S32" i="8"/>
  <c r="R32" i="8"/>
  <c r="T32" i="8"/>
  <c r="T24" i="8"/>
  <c r="T26" i="8"/>
  <c r="T27" i="8"/>
  <c r="T29" i="8"/>
  <c r="T22" i="8"/>
  <c r="T23" i="8"/>
  <c r="T36" i="8"/>
  <c r="T51" i="8"/>
  <c r="T28" i="8"/>
  <c r="T25" i="8"/>
  <c r="T21" i="8"/>
  <c r="T20" i="8"/>
  <c r="T14" i="8"/>
  <c r="T13" i="8"/>
  <c r="V9" i="8"/>
  <c r="V8" i="8"/>
  <c r="V7" i="8"/>
  <c r="V6" i="8"/>
  <c r="X7" i="8" l="1"/>
  <c r="W7" i="8"/>
  <c r="Y7" i="8"/>
  <c r="X8" i="8"/>
  <c r="W8" i="8"/>
  <c r="Y8" i="8"/>
  <c r="W9" i="8"/>
  <c r="X9" i="8"/>
  <c r="Y9" i="8"/>
  <c r="T15" i="8"/>
  <c r="V15" i="8"/>
  <c r="T16" i="8"/>
  <c r="V16" i="8"/>
  <c r="T10" i="8"/>
  <c r="V10" i="8"/>
  <c r="W6" i="8"/>
  <c r="X6" i="8"/>
  <c r="Y6" i="8"/>
  <c r="T8" i="8"/>
  <c r="T7" i="8"/>
  <c r="T9" i="8"/>
  <c r="Y16" i="8" l="1"/>
  <c r="W16" i="8"/>
  <c r="X16" i="8"/>
  <c r="W15" i="8"/>
  <c r="X15" i="8"/>
  <c r="Y15" i="8"/>
  <c r="Y10" i="8"/>
  <c r="W10" i="8"/>
  <c r="X10" i="8"/>
  <c r="T6" i="8"/>
  <c r="S24" i="8" l="1"/>
  <c r="S10" i="8"/>
  <c r="M10" i="8"/>
  <c r="S9" i="8"/>
  <c r="M9" i="8"/>
  <c r="S20" i="8" l="1"/>
  <c r="S16" i="8"/>
  <c r="U45" i="8" l="1"/>
  <c r="U44" i="8"/>
  <c r="U43" i="8"/>
  <c r="U42" i="8"/>
  <c r="S36" i="8"/>
  <c r="R36" i="8"/>
  <c r="M36" i="8"/>
  <c r="L36" i="8"/>
  <c r="G36" i="8"/>
  <c r="F36" i="8"/>
  <c r="S51" i="8"/>
  <c r="R51" i="8"/>
  <c r="M51" i="8"/>
  <c r="L51" i="8"/>
  <c r="G51" i="8"/>
  <c r="F51" i="8"/>
  <c r="G34" i="8"/>
  <c r="U34" i="8" s="1"/>
  <c r="V34" i="8" s="1"/>
  <c r="F34" i="8"/>
  <c r="M30" i="8"/>
  <c r="G30" i="8"/>
  <c r="S29" i="8"/>
  <c r="R29" i="8"/>
  <c r="M29" i="8"/>
  <c r="L29" i="8"/>
  <c r="G29" i="8"/>
  <c r="F29" i="8"/>
  <c r="S28" i="8"/>
  <c r="R28" i="8"/>
  <c r="M28" i="8"/>
  <c r="L28" i="8"/>
  <c r="G28" i="8"/>
  <c r="F28" i="8"/>
  <c r="S27" i="8"/>
  <c r="R27" i="8"/>
  <c r="M27" i="8"/>
  <c r="L27" i="8"/>
  <c r="G27" i="8"/>
  <c r="F27" i="8"/>
  <c r="S26" i="8"/>
  <c r="R26" i="8"/>
  <c r="M26" i="8"/>
  <c r="L26" i="8"/>
  <c r="G26" i="8"/>
  <c r="F26" i="8"/>
  <c r="S25" i="8"/>
  <c r="R25" i="8"/>
  <c r="M25" i="8"/>
  <c r="L25" i="8"/>
  <c r="G25" i="8"/>
  <c r="F25" i="8"/>
  <c r="M24" i="8"/>
  <c r="L24" i="8"/>
  <c r="G24" i="8"/>
  <c r="F24" i="8"/>
  <c r="S23" i="8"/>
  <c r="R23" i="8"/>
  <c r="M23" i="8"/>
  <c r="L23" i="8"/>
  <c r="G23" i="8"/>
  <c r="F23" i="8"/>
  <c r="S22" i="8"/>
  <c r="R22" i="8"/>
  <c r="M22" i="8"/>
  <c r="L22" i="8"/>
  <c r="G22" i="8"/>
  <c r="F22" i="8"/>
  <c r="S21" i="8"/>
  <c r="M21" i="8"/>
  <c r="G21" i="8"/>
  <c r="R20" i="8"/>
  <c r="M20" i="8"/>
  <c r="L20" i="8"/>
  <c r="G20" i="8"/>
  <c r="F20" i="8"/>
  <c r="M17" i="8"/>
  <c r="L17" i="8"/>
  <c r="G17" i="8"/>
  <c r="F17" i="8"/>
  <c r="M16" i="8"/>
  <c r="G16" i="8"/>
  <c r="S15" i="8"/>
  <c r="R15" i="8"/>
  <c r="M15" i="8"/>
  <c r="L15" i="8"/>
  <c r="G15" i="8"/>
  <c r="F15" i="8"/>
  <c r="S14" i="8"/>
  <c r="R14" i="8"/>
  <c r="M14" i="8"/>
  <c r="L14" i="8"/>
  <c r="G14" i="8"/>
  <c r="F14" i="8"/>
  <c r="S13" i="8"/>
  <c r="R13" i="8"/>
  <c r="M13" i="8"/>
  <c r="L13" i="8"/>
  <c r="G13" i="8"/>
  <c r="F13" i="8"/>
  <c r="G10" i="8"/>
  <c r="F10" i="8"/>
  <c r="G9" i="8"/>
  <c r="S8" i="8"/>
  <c r="R8" i="8"/>
  <c r="M8" i="8"/>
  <c r="L8" i="8"/>
  <c r="S7" i="8"/>
  <c r="R7" i="8"/>
  <c r="M7" i="8"/>
  <c r="L7" i="8"/>
  <c r="S6" i="8"/>
  <c r="R6" i="8"/>
  <c r="M6" i="8"/>
  <c r="L6" i="8"/>
  <c r="G6" i="8"/>
  <c r="F6" i="8"/>
  <c r="Y42" i="8" l="1"/>
  <c r="V42" i="8"/>
  <c r="V43" i="8"/>
  <c r="Y43" i="8"/>
  <c r="V44" i="8"/>
  <c r="Y44" i="8"/>
  <c r="Y45" i="8"/>
  <c r="V45" i="8"/>
  <c r="X34" i="8"/>
  <c r="W34" i="8"/>
  <c r="Y34" i="8"/>
  <c r="U46" i="8"/>
  <c r="V46" i="8" s="1"/>
  <c r="V12" i="8"/>
  <c r="V18" i="8"/>
  <c r="V11" i="8"/>
  <c r="U51" i="8"/>
  <c r="U36" i="8"/>
  <c r="V36" i="8" s="1"/>
  <c r="V51" i="8" l="1"/>
  <c r="X46" i="8"/>
  <c r="W46" i="8"/>
  <c r="W42" i="8"/>
  <c r="X42" i="8"/>
  <c r="X44" i="8"/>
  <c r="W44" i="8"/>
  <c r="W43" i="8"/>
  <c r="X43" i="8"/>
  <c r="X45" i="8"/>
  <c r="W45" i="8"/>
  <c r="Y46" i="8"/>
  <c r="X51" i="8"/>
  <c r="W51" i="8"/>
  <c r="Y51" i="8"/>
  <c r="W36" i="8"/>
  <c r="Y36" i="8"/>
  <c r="X36" i="8"/>
  <c r="X18" i="8"/>
  <c r="Y18" i="8"/>
  <c r="W18" i="8"/>
  <c r="Y11" i="8"/>
  <c r="W11" i="8"/>
  <c r="X11" i="8"/>
  <c r="Y12" i="8"/>
  <c r="W12" i="8"/>
  <c r="X12" i="8"/>
  <c r="U37" i="8" l="1"/>
  <c r="V19" i="8"/>
  <c r="V37" i="8" s="1"/>
  <c r="V47" i="8" s="1"/>
  <c r="V52" i="8" s="1"/>
  <c r="M11" i="8"/>
  <c r="L11" i="8"/>
  <c r="T11" i="8"/>
  <c r="R11" i="8"/>
  <c r="S11" i="8"/>
  <c r="K5" i="8"/>
  <c r="L5" i="8" s="1"/>
  <c r="Q5" i="8"/>
  <c r="T12" i="8"/>
  <c r="S12" i="8"/>
  <c r="R12" i="8"/>
  <c r="F18" i="8"/>
  <c r="G18" i="8"/>
  <c r="G12" i="8"/>
  <c r="F12" i="8"/>
  <c r="T18" i="8"/>
  <c r="R18" i="8"/>
  <c r="S18" i="8"/>
  <c r="F11" i="8"/>
  <c r="G11" i="8"/>
  <c r="L12" i="8"/>
  <c r="M12" i="8"/>
  <c r="M18" i="8"/>
  <c r="L18" i="8"/>
  <c r="F7" i="8"/>
  <c r="G7" i="8"/>
  <c r="W19" i="8" l="1"/>
  <c r="W37" i="8" s="1"/>
  <c r="W47" i="8" s="1"/>
  <c r="W52" i="8" s="1"/>
  <c r="X19" i="8"/>
  <c r="X37" i="8" s="1"/>
  <c r="X47" i="8" s="1"/>
  <c r="X52" i="8" s="1"/>
  <c r="Y19" i="8"/>
  <c r="G19" i="8"/>
  <c r="F19" i="8"/>
  <c r="T19" i="8"/>
  <c r="T5" i="8" s="1"/>
  <c r="S19" i="8"/>
  <c r="S5" i="8" s="1"/>
  <c r="R19" i="8"/>
  <c r="L19" i="8"/>
  <c r="M19" i="8"/>
  <c r="M5" i="8" s="1"/>
  <c r="R5" i="8"/>
  <c r="F8" i="8"/>
  <c r="G8" i="8"/>
  <c r="G5" i="8" l="1"/>
  <c r="U5" i="8" s="1"/>
  <c r="V5" i="8" s="1"/>
  <c r="Y37" i="8"/>
  <c r="Y47" i="8" s="1"/>
  <c r="Y52" i="8" s="1"/>
  <c r="U47" i="8"/>
  <c r="U52" i="8" s="1"/>
  <c r="X5" i="8" l="1"/>
  <c r="Y5" i="8"/>
  <c r="W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Z13" authorId="0" shapeId="0" xr:uid="{940223D5-C165-4B46-8D81-9F47665386F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814,00 - Госпошлина</t>
        </r>
      </text>
    </comment>
    <comment ref="AA13" authorId="0" shapeId="0" xr:uid="{B8C83F7B-29F9-402C-8120-122E8C73D03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16092,00 - Договор на оказание юридических услуг
4360,94 - Взносы
8801,00 - Госпошлина</t>
        </r>
      </text>
    </comment>
    <comment ref="AB13" authorId="0" shapeId="0" xr:uid="{A7D02F06-4858-479B-BC9C-05AECCE1008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34483,00 - Договор на подготовку заявлений о вынесении судебных приказов
9344,89 - Взносы</t>
        </r>
      </text>
    </comment>
    <comment ref="AC13" authorId="0" shapeId="0" xr:uid="{B8023146-B844-4EDD-AF70-FF55215C0A1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21500,00 - Юридические услуги
3650,00 - Плата за пакеты услуг по предоставлению сведений из ЕГРН
2749,00 - Госпошлина
</t>
        </r>
      </text>
    </comment>
    <comment ref="AB14" authorId="0" shapeId="0" xr:uid="{3F5113A8-87F7-4938-AD2E-E2305B2E9A6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1845,00 - Полиграфические услуги
2779,00 - Канцтовары</t>
        </r>
      </text>
    </comment>
    <comment ref="AC14" authorId="0" shapeId="0" xr:uid="{CEB1ED3E-1B2F-47E2-9100-A015A86FD13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2624,00 - Полиграфические услуги
1123,52 - Почтовые расходы
3160,00 - Заправка картриджа</t>
        </r>
      </text>
    </comment>
    <comment ref="Z15" authorId="0" shapeId="0" xr:uid="{411ADA30-DA17-4F76-9CE9-4300714334C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10496,00 - Антисептические средства
7207,00 - Спец. одежда</t>
        </r>
      </text>
    </comment>
    <comment ref="AA15" authorId="0" shapeId="0" xr:uid="{0AC8BA1C-1FB1-4D68-A840-30FF8BC7FD2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8040,00 - Антисептические средства
5763,60 - Дезинфицирующие средства и средства для уборки
</t>
        </r>
      </text>
    </comment>
    <comment ref="AB15" authorId="0" shapeId="0" xr:uid="{2D1ECFC6-B73C-44FF-B68B-C8F95B2876C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7750,00 - Противогололедный материал
12056,00 - Антисептические средства
715,90 - Материалы для уборки</t>
        </r>
      </text>
    </comment>
    <comment ref="AC16" authorId="0" shapeId="0" xr:uid="{B0CCE286-BD62-461A-BDA0-D0B24F603A48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54000,00 - Промывка фасада альпинистами ООО "СПБ-МОНТАЖ"</t>
        </r>
      </text>
    </comment>
    <comment ref="Z17" authorId="0" shapeId="0" xr:uid="{A689B2AF-3BF9-4006-A9D6-896F4441780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60003,50 - Трудовой договор на озеленение
18121,06 - Взносы
</t>
        </r>
      </text>
    </comment>
    <comment ref="AA17" authorId="0" shapeId="0" xr:uid="{671BEBED-C8D8-4CA0-A62A-E502E60A992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4710,51 - Семена и материалы для посадки</t>
        </r>
      </text>
    </comment>
    <comment ref="AC17" authorId="0" shapeId="0" xr:uid="{985FEB51-8B75-4646-A81F-61D2785B03B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28736,00 - Договор гпх на озеленение
7787,46 - Взносы
31107,32 - Семена, саженцы и материалы для озеленения
500,00 - Погрузочно-разгрузочные работы</t>
        </r>
      </text>
    </comment>
    <comment ref="Z22" authorId="0" shapeId="0" xr:uid="{A25C4615-5FD0-4750-85E3-ACC1A1F49CD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6000,00 - Внесение данных на портале "ГИС ЖКХ"
2955,05 - Аренда дискового пространства</t>
        </r>
      </text>
    </comment>
    <comment ref="AA22" authorId="0" shapeId="0" xr:uid="{632CB92A-73F6-4F76-9ECE-4DBA12E092F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6000,00 - Внесение данных на портале "ГИС ЖКХ"
2185,07 - Аренда дискового пространства
1100,00 - Лицензия на право использования СКЗИ "КриптоПро CSP версии 5.0 годовая"
1450,00 - Сертификат ЭП
</t>
        </r>
      </text>
    </comment>
    <comment ref="AB22" authorId="0" shapeId="0" xr:uid="{6E5402C0-28B7-4383-8649-E9CDC60F449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6000,00 - Внесение данных на портале "ГИС ЖКХ"
1311,36 - Аренда дискового пространства
1490,00  - Продление регистрации домена</t>
        </r>
      </text>
    </comment>
    <comment ref="AC22" authorId="0" shapeId="0" xr:uid="{A495ACF3-3B92-4F4B-803A-33AC756312D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6000,00 - Внесение данных на портале "ГИС ЖКХ"
3413,05 - Аренда дискового пространства для функционирования сайта ТСЖ
600,00 - Услуга DNS-master S для функционирования сайта ТСЖ
70,00 - Абонентское обслуживаение Ключ Росреестр
5900,00 - Передача неисключительных  имущественных прав (Лицензия) на право использования программного продукт
3330,00 - Право использования программы для ЭВМ "Крипто документ" для управления Сертификатом</t>
        </r>
      </text>
    </comment>
    <comment ref="Z24" authorId="0" shapeId="0" xr:uid="{8CB50FF2-D1D0-40C3-BFA2-3B4D53E04E3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1500,00 - Страхование лифтов
14696,14 - Техническое освидетельствование лифтов 
53694,90 - ТО лифтов 
5184,00 - ТО ОДС</t>
        </r>
      </text>
    </comment>
    <comment ref="AA25" authorId="0" shapeId="0" xr:uid="{01D0FAF8-B72C-4F69-AD50-325DA2E31DF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3160,00 - Заправка картриджа
1500,00 - Ремонт орг. техники
6550,00 - Замена вышедшей из строя орг. техники</t>
        </r>
      </text>
    </comment>
    <comment ref="Z26" authorId="0" shapeId="0" xr:uid="{55B287A8-CFA4-4093-9124-8D765857798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12500,00 - ТО канализационнного трубопровода
1890,00 - ТО поломоечной машины
17241,00 - Д\п на окраску ограждений (Григоров В.С.)
4672,31 - Взносы с д\п
35933,00 - Компенсация ремонта террасы
54000,00 - Гидроизоляция</t>
        </r>
      </text>
    </comment>
    <comment ref="AA26" authorId="0" shapeId="0" xr:uid="{554E599A-A78E-492A-A8A6-6DF11070331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100000,00 - Обследование кровли
535286,00 - Работы по ремонту кровли ООО "Альказар"
131225,00 - Работы по ремонту кровли ООО "СПБ-МОНТАЖ"
6380,00 - ТО поломоечной машины
5172,00 - Д/п на замену и ремонт стекол
1401,61 - Взносы
</t>
        </r>
      </text>
    </comment>
    <comment ref="AB26" authorId="0" shapeId="0" xr:uid="{C1AE0DAA-B5C3-4066-8F0F-EC25B0ADF30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34483,00 - Д/п на ремонт фасада
9344,89 - Взносы
4870,00 - ТО поломоечной машины</t>
        </r>
      </text>
    </comment>
    <comment ref="AC26" authorId="0" shapeId="0" xr:uid="{8A2424BF-95DA-44DD-B602-5E508666D92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1724,00 - Договор гпх на ремонт дверей
467,20 - Взносы
136000,00 - Восстановление СКУД "Корнверк"
149000,00 - Гидроизоляция
80000,00 - Обследование террас и балконов
12500,00 - Работы по ремонту шлагбаума
2000,00 - Ремонт системы контроля доступа (ворота)
284700,00 - Ремонт фасада
42000,00 - Высотные работы
3600,00 - Демонтаж-монтаж датчика давления
1560,00 - Смена режима работы электрозамка</t>
        </r>
      </text>
    </comment>
    <comment ref="Z27" authorId="0" shapeId="0" xr:uid="{472B303B-ABB9-445A-AA09-50F4C790226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4257,00 - Материалы для ремонта видеодомофона
86031,65 - Строительные материалы
550,80 - Доставка строительных материалов.</t>
        </r>
      </text>
    </comment>
    <comment ref="AA27" authorId="0" shapeId="0" xr:uid="{1C110590-5CB1-4797-9FE6-160B9B60E26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122823,45 - Строительные материалы</t>
        </r>
      </text>
    </comment>
    <comment ref="AB27" authorId="0" shapeId="0" xr:uid="{E1D66BD0-2968-478F-B1F2-E2ACC467029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22219,00 - Материалы для ремонта видеодомофона
17000,00 - Лампа светодиодная
17524,51 - Строительные материалы</t>
        </r>
      </text>
    </comment>
    <comment ref="AC27" authorId="0" shapeId="0" xr:uid="{FE26BBB4-54CE-4D0D-9D7C-35CC6F191D7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364322,00 - Материалы для ремонта видеодомофона
29100,00 - Отражающий световой барьер и Брелок-передатчик 2-х канальный (ремонт ворот)
50000,00 - Электронный ключ «РЕВЕРС-Профессионал»
55210,76 - Строительные материалы и инструменты
958,80 - Платная доставка</t>
        </r>
      </text>
    </comment>
    <comment ref="AB28" authorId="0" shapeId="0" xr:uid="{961E32B6-EE85-4947-B545-28566B0F964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45 000,00 - Ежемесячное ТО
39 360,00 - Ежегодное ТО
16 320,00 - Материалы для проведения ТО</t>
        </r>
      </text>
    </comment>
  </commentList>
</comments>
</file>

<file path=xl/sharedStrings.xml><?xml version="1.0" encoding="utf-8"?>
<sst xmlns="http://schemas.openxmlformats.org/spreadsheetml/2006/main" count="412" uniqueCount="193">
  <si>
    <t>Канцелярские принадлежности и почтовые расходы</t>
  </si>
  <si>
    <t>Содержание оргтехники</t>
  </si>
  <si>
    <t>Расчетно-кассовое обслуживание</t>
  </si>
  <si>
    <t>Услуги связи</t>
  </si>
  <si>
    <t>Повышение квалификации</t>
  </si>
  <si>
    <t>Программное обеспечение</t>
  </si>
  <si>
    <t>Заработная плата обслуживающего персонала</t>
  </si>
  <si>
    <t>Видеонаблюдение</t>
  </si>
  <si>
    <t>Охрана</t>
  </si>
  <si>
    <t>Содержание и обслуживание лифтов</t>
  </si>
  <si>
    <t>Замена и очистка ковров</t>
  </si>
  <si>
    <t>Дезинфекция</t>
  </si>
  <si>
    <t>Вывоз и утилизация отходов</t>
  </si>
  <si>
    <t>ТО системы кондиционирования</t>
  </si>
  <si>
    <t>Радиоточки</t>
  </si>
  <si>
    <t>Аварийное обслуживание</t>
  </si>
  <si>
    <t>ТО узла учета</t>
  </si>
  <si>
    <t>Резервный фонд</t>
  </si>
  <si>
    <t>Текущий ремонт (по договорам)</t>
  </si>
  <si>
    <t>Текущий ремонт (материалы)</t>
  </si>
  <si>
    <t>Капитальный ремонт</t>
  </si>
  <si>
    <t>м2</t>
  </si>
  <si>
    <t xml:space="preserve">Единица </t>
  </si>
  <si>
    <t>Единица</t>
  </si>
  <si>
    <t>Тариф</t>
  </si>
  <si>
    <t>Итого</t>
  </si>
  <si>
    <t>Отчисления в страховые фонды (АУП)</t>
  </si>
  <si>
    <t>Отчисления в страховые фонды (Обслуживающий персонал)</t>
  </si>
  <si>
    <t>м3</t>
  </si>
  <si>
    <t>Материалы (инвентарь и хозяйственные принадлежности)</t>
  </si>
  <si>
    <t>Водоотведение</t>
  </si>
  <si>
    <t>ХВС</t>
  </si>
  <si>
    <t>Тариф за место</t>
  </si>
  <si>
    <t>В месяц</t>
  </si>
  <si>
    <t>В год</t>
  </si>
  <si>
    <t>Заработная плата административно-управленческого персонала</t>
  </si>
  <si>
    <t>офис</t>
  </si>
  <si>
    <t>Информационные и юридические услуги</t>
  </si>
  <si>
    <t>ТО автоматической противопожарной защиты</t>
  </si>
  <si>
    <t xml:space="preserve">Озеленение территории </t>
  </si>
  <si>
    <t>Содержание МКД (многоквартирного дома)</t>
  </si>
  <si>
    <t>Теплоэнергия и ГВС</t>
  </si>
  <si>
    <t>Квартиры</t>
  </si>
  <si>
    <t>Офисы</t>
  </si>
  <si>
    <t>Паркинг</t>
  </si>
  <si>
    <t>Итого без учета коммунальных услуг:</t>
  </si>
  <si>
    <t>Гкал</t>
  </si>
  <si>
    <t>Среднемесячное потребление</t>
  </si>
  <si>
    <t>Услуга</t>
  </si>
  <si>
    <t>кВт</t>
  </si>
  <si>
    <t>Единица измерения</t>
  </si>
  <si>
    <t>место</t>
  </si>
  <si>
    <t>Изменения в % по отношению к предыдущему периоду</t>
  </si>
  <si>
    <t>Метраж помещения</t>
  </si>
  <si>
    <t>квартира</t>
  </si>
  <si>
    <t>Очистка фасада</t>
  </si>
  <si>
    <t>ТО ТВ</t>
  </si>
  <si>
    <t>71,3736/72,4583</t>
  </si>
  <si>
    <t>Тариф 2019 -2020 г.</t>
  </si>
  <si>
    <t>Электроэнергия (дневная зона)</t>
  </si>
  <si>
    <t>Электроэнергия (ночная зона)</t>
  </si>
  <si>
    <r>
      <t xml:space="preserve">Тариф </t>
    </r>
    <r>
      <rPr>
        <b/>
        <sz val="11"/>
        <rFont val="Times New Roman"/>
        <family val="1"/>
        <charset val="204"/>
      </rPr>
      <t xml:space="preserve">2020 -2021 </t>
    </r>
    <r>
      <rPr>
        <sz val="11"/>
        <rFont val="Times New Roman"/>
        <family val="1"/>
        <charset val="204"/>
      </rPr>
      <t>г.</t>
    </r>
  </si>
  <si>
    <t>Размер средств начисленных в качестве взносов на капитальный ремонт (руб.)</t>
  </si>
  <si>
    <t>Сведения о размере израсходованных средств на капитальный ремонт со специального счета (руб.)</t>
  </si>
  <si>
    <t>Остаток денежных средств на специальном счете (руб.)</t>
  </si>
  <si>
    <t>73,8871/74,9718</t>
  </si>
  <si>
    <t>3,52% / 3,47%</t>
  </si>
  <si>
    <t>ЗАПЛАНИРОВАННЫЕ РАСХОДЫ</t>
  </si>
  <si>
    <t>В квартал</t>
  </si>
  <si>
    <t>За полугодие</t>
  </si>
  <si>
    <t>За 9 месяцев</t>
  </si>
  <si>
    <t>ФАКТИЧЕСКИЕ РАСХОДЫ</t>
  </si>
  <si>
    <t>1 квартал</t>
  </si>
  <si>
    <t>2 квартал</t>
  </si>
  <si>
    <t>3 квартал</t>
  </si>
  <si>
    <t>4 квартал</t>
  </si>
  <si>
    <t>Итого по коммунальным услугам:</t>
  </si>
  <si>
    <t>Тариф на взносы на капитальный ремонт (минимальный размер тарифа устанавливается Правительством г. Санкт-Петербурга)</t>
  </si>
  <si>
    <t>ЗАПЛАНИРОВАННЫЕ НАЧИСЛЕНИЯ</t>
  </si>
  <si>
    <t>ФАКТИЧЕСКИЕ НАЧИСЛЕНИЯ (с учетом пени)</t>
  </si>
  <si>
    <t xml:space="preserve">Прогнозируемые расходы на потребление коммунальных услуг на основании прошедшего года по дому в целом: </t>
  </si>
  <si>
    <t>Фактические расходы:</t>
  </si>
  <si>
    <t>Итого расходы на коммунальные услуги:</t>
  </si>
  <si>
    <t>Итого расходы с учетом потребления коммунальных услуг</t>
  </si>
  <si>
    <t xml:space="preserve">Расходы на потребление коммунальных услуг: </t>
  </si>
  <si>
    <t>Итого по всем услугам:</t>
  </si>
  <si>
    <t>Сведения о поступлении и расходовании взносов на капитальный ремонт</t>
  </si>
  <si>
    <t>Размер собранных средств в качестве взносов на капитальный ремонт (руб.)</t>
  </si>
  <si>
    <t>по состоянию на 01 января 2021 года (с момента первых начислений)</t>
  </si>
  <si>
    <t>Финансово-хозяйственный план  ТСЖ  "10-я линия 17-Г" на 2019-2020 год.</t>
  </si>
  <si>
    <t>1. Административно-управленческие расходы</t>
  </si>
  <si>
    <t>№ п/п</t>
  </si>
  <si>
    <t>Наименование показателя</t>
  </si>
  <si>
    <t>Руб. в месяц</t>
  </si>
  <si>
    <t>Руб. в год</t>
  </si>
  <si>
    <t>Поставщик</t>
  </si>
  <si>
    <t>Примечание</t>
  </si>
  <si>
    <t>1.1</t>
  </si>
  <si>
    <t>Заработная плата персонала управления</t>
  </si>
  <si>
    <t xml:space="preserve">Председатель Правления, управляющая, бухгалтер. </t>
  </si>
  <si>
    <t>1.2</t>
  </si>
  <si>
    <t>Тариф сохранен без изменений.</t>
  </si>
  <si>
    <t>1.3</t>
  </si>
  <si>
    <t>1.4</t>
  </si>
  <si>
    <t>ПФР(страховая часть) - 22%, ФФОМС - 5.1%, ФСС(несчастный случай) -0,2%, ФСС (соц. страх. нетрудоспособность) - 2,9%</t>
  </si>
  <si>
    <t>1.5</t>
  </si>
  <si>
    <t>Подготовка к обязательной сдаче экзаменов на допуск к работам по обслуживанию лифтов, тепло - и электро- систем.</t>
  </si>
  <si>
    <t>1.6</t>
  </si>
  <si>
    <t>Хостинг, консультации по ПО, электронные подписи и ключи, ежемесячное обслуживание ГИС ЖКХ.</t>
  </si>
  <si>
    <t>1.7</t>
  </si>
  <si>
    <t>Тариф сформирован в соответствии с расходами предыдущих лет.</t>
  </si>
  <si>
    <t>1.8</t>
  </si>
  <si>
    <t>1.9</t>
  </si>
  <si>
    <t>ЗАО "Квантум"</t>
  </si>
  <si>
    <t>Тариф сформирован в соответствии с расходами прошлого года.</t>
  </si>
  <si>
    <t>Итого:</t>
  </si>
  <si>
    <t xml:space="preserve">2. Содержание и обслуживание общего имущества </t>
  </si>
  <si>
    <t>2.1</t>
  </si>
  <si>
    <t>ООО "Содружество"</t>
  </si>
  <si>
    <t>Ежемесячное обслуживание по Доп. соглашение №1 от 01.01.2017г. к Договору №Б-65-А от 29.07.2013 г. C 01.01.21 г. стоимость услуги увеличивается с 8058 руб. до 8160 руб.</t>
  </si>
  <si>
    <t>2.2</t>
  </si>
  <si>
    <t>ОАО "Станция дезинфекции"</t>
  </si>
  <si>
    <t>Ежемесячное обслуживание по договору № 66 от 03.12.2018 г.</t>
  </si>
  <si>
    <t>2.3</t>
  </si>
  <si>
    <t>ООО "Биг-Сервис"</t>
  </si>
  <si>
    <t>Ежемесячное техническое обслуживание видеодомофона по Договору 4-С от 01.03.2019 г.</t>
  </si>
  <si>
    <t>2.4</t>
  </si>
  <si>
    <t>ООО "ЭКО ТРЕСТ"</t>
  </si>
  <si>
    <t>33,35 м. куб. - среднемесячный объем ТБО за трехлетний интервал. Тариф за вывоз мусора с 01.01.2019 г. составляет 750 руб. за м.куб.</t>
  </si>
  <si>
    <t>2.5</t>
  </si>
  <si>
    <t>ЗАО "Линдстрем"</t>
  </si>
  <si>
    <t>Ежемесячное обслуживание по договору № 38320 от 01.04.2011 г. С 01.01.2020 г. стоимость услуги увеличена с 10 645,13 руб. до 11 177,38 руб.</t>
  </si>
  <si>
    <t>2.6</t>
  </si>
  <si>
    <t>2 уборщицы, уборщик паркинга, дворник, инженер.</t>
  </si>
  <si>
    <t>2.7</t>
  </si>
  <si>
    <t>2.8</t>
  </si>
  <si>
    <t>Тариф установлен в соответствии с расходами прошлого года</t>
  </si>
  <si>
    <t>2.9</t>
  </si>
  <si>
    <t>Озеленение территории</t>
  </si>
  <si>
    <t>2.10</t>
  </si>
  <si>
    <t>ПФР(страховая часть) - 22%, ФФОМС - 5.1%, ФСС(несчастный случай) - 0,2%, ФСС (соц. страх. нетрудоспособность) - 2,9%.</t>
  </si>
  <si>
    <t>2.11</t>
  </si>
  <si>
    <t>ООО "ОО "СИРИУС СЕКЪЮРИТИ"</t>
  </si>
  <si>
    <t>Стоимость ежемесячного обслуживания по договору №2210-18/ОУ от 22.10.2018 г. с 01.06.2020 г. увеличивается на 5%. С 220 000 руб. до 231 000,00 руб.</t>
  </si>
  <si>
    <t>2.12</t>
  </si>
  <si>
    <t xml:space="preserve">ООО "ЛК Интегралл плюс", ИКЦ "Техэксперт-сервис", "Ресо-гарантия", </t>
  </si>
  <si>
    <t>Ежемесячное техническое обслуживание лифтов - 17 898,30 руб. Ежемесячное ТО ОДС - 1 728,00 руб. Ежегодное техническое освидетельствование лифтов - 14 696,14 руб. Ежегодное страхование - 1 500 руб.</t>
  </si>
  <si>
    <t>2.13</t>
  </si>
  <si>
    <t>Модернизация системы видеонаблюдения контроля допуска (382 т.р.), Гидроизоляция (от 320 т.р.), Ремонт наливного пола в паркинге - от 1 000 000 руб.</t>
  </si>
  <si>
    <t>2.14</t>
  </si>
  <si>
    <t>2.15</t>
  </si>
  <si>
    <t xml:space="preserve">ТО автоматической противопожарной защиты </t>
  </si>
  <si>
    <t>ООО "О.С.Б.-Техно"</t>
  </si>
  <si>
    <t>15 000 руб. - ежемесячная оплата за техническое обслуживание, 42 020 руб. - проверка работоспособности пожарных гидрантов.</t>
  </si>
  <si>
    <t>2.16</t>
  </si>
  <si>
    <t>ООО "Нева климат сервис"</t>
  </si>
  <si>
    <t>Ежегодное обслуживание системы кондиционирования.</t>
  </si>
  <si>
    <t>2.17</t>
  </si>
  <si>
    <t>ЗАО "ЭлектронТелеком"</t>
  </si>
  <si>
    <t>Ежемесячное обслуживание по договору № ЖН/ТО/Д/10-17 от 01.11.2017</t>
  </si>
  <si>
    <t>2.18</t>
  </si>
  <si>
    <t>ЗАО "СИНТО"</t>
  </si>
  <si>
    <t>Ежемесячное обслуживание по договору № 07-12-2012-СО.</t>
  </si>
  <si>
    <t>Итого ТО МКД:</t>
  </si>
  <si>
    <t>3. Дополнительные услуги</t>
  </si>
  <si>
    <t>3.1</t>
  </si>
  <si>
    <t>ФГУП РСВО - Санкт-Петербург</t>
  </si>
  <si>
    <t>С 01.07.2019 г. ежемесячная оплата по договору 30593 от 03.08.2009 г. Увеличена до 97,50 руб./шт.</t>
  </si>
  <si>
    <t>4. Капитальный ремонт</t>
  </si>
  <si>
    <t>4.1</t>
  </si>
  <si>
    <t>Минимальный размер взноса на капитальный ремонт общего имущества для типа "Панельные "новое строительство", постройки после 1980 г." и "дома, построенные после 1999 года, категории "новое строительство панельные" c лифтом с 01.01.2020 г. составляет 8,74 руб.\м2</t>
  </si>
  <si>
    <t>5. Резервный фонд</t>
  </si>
  <si>
    <t>5.1</t>
  </si>
  <si>
    <t>Резервный фонд (СоИ)</t>
  </si>
  <si>
    <t>Коммунальные ресурсы, потребляемые в целях содержания общего имущества в многоквартирном доме, в т.ч.:  холодная вода - 0,18 руб./м2, горячая вода -  0,40 руб./м2, водоотведение - 0,29 руб./м2. Итого: 0,87 руб./м2.</t>
  </si>
  <si>
    <t>6. Электроэнергия</t>
  </si>
  <si>
    <t>6.1</t>
  </si>
  <si>
    <t>Электроэнергия ОДН</t>
  </si>
  <si>
    <t>факт</t>
  </si>
  <si>
    <t>ОАО "ПСК"</t>
  </si>
  <si>
    <t>C 01.07.2020 тариф на электрическую энергию увеличен с  3,84  руб./кВт∙ч до 4,06 руб./кВт∙ч. (дневная зона) и с 2,22  руб./кВт∙ч до 2,34 руб./кВт∙ч. (ночная зона)</t>
  </si>
  <si>
    <t>7. Коммунальные платежи</t>
  </si>
  <si>
    <t>7.1</t>
  </si>
  <si>
    <t>Холодное водоснабжение и водоотведение</t>
  </si>
  <si>
    <t>ГУП "Водоканал Санкт-Петербурга"</t>
  </si>
  <si>
    <t>C 01.07.2020 тариф на холодное водоснабжение и водоотведение увеличен с 31,58 руб./м3 до 32,53 руб./м3.</t>
  </si>
  <si>
    <t>7.2</t>
  </si>
  <si>
    <t>Отопление и горячее водоснабжение</t>
  </si>
  <si>
    <t>ОАО "ТГК-1"</t>
  </si>
  <si>
    <t>C 01.07.2020 тариф на отопление увеличен с 1765,33 руб./Гкал до 1818,29 руб./Гкал, и с 105,92 руб./м3 до 109,10 руб./м3 на горячую воду.</t>
  </si>
  <si>
    <t xml:space="preserve">Итого в год по всем позициям </t>
  </si>
  <si>
    <t>Без учета начислений по факту за коммунальные услуги.</t>
  </si>
  <si>
    <t>ОТЧЕТ ПО ИСПОЛНЕНИЮ СМЕТЫ С 01.06.2020 ПО 01.06.2021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</si>
</sst>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2" fillId="4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0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59"/>
  <sheetViews>
    <sheetView tabSelected="1" zoomScale="85" zoomScaleNormal="85" workbookViewId="0">
      <selection activeCell="AH10" sqref="AH10"/>
    </sheetView>
  </sheetViews>
  <sheetFormatPr defaultRowHeight="15" x14ac:dyDescent="0.25"/>
  <cols>
    <col min="1" max="1" width="41.42578125" style="3" customWidth="1"/>
    <col min="2" max="2" width="10.140625" style="3" hidden="1" customWidth="1"/>
    <col min="3" max="3" width="11" style="3" hidden="1" customWidth="1"/>
    <col min="4" max="4" width="20.7109375" style="3" hidden="1" customWidth="1"/>
    <col min="5" max="5" width="17.85546875" style="3" hidden="1" customWidth="1"/>
    <col min="6" max="6" width="21.85546875" style="3" hidden="1" customWidth="1"/>
    <col min="7" max="7" width="11.28515625" style="3" hidden="1" customWidth="1"/>
    <col min="8" max="8" width="9" style="3" hidden="1" customWidth="1"/>
    <col min="9" max="9" width="11" style="3" hidden="1" customWidth="1"/>
    <col min="10" max="10" width="20.7109375" style="3" hidden="1" customWidth="1"/>
    <col min="11" max="11" width="13.140625" style="3" hidden="1" customWidth="1"/>
    <col min="12" max="12" width="21.85546875" style="3" hidden="1" customWidth="1"/>
    <col min="13" max="13" width="10.140625" style="3" hidden="1" customWidth="1"/>
    <col min="14" max="14" width="9" style="3" hidden="1" customWidth="1"/>
    <col min="15" max="15" width="11" style="3" hidden="1" customWidth="1"/>
    <col min="16" max="16" width="20.7109375" style="3" hidden="1" customWidth="1"/>
    <col min="17" max="17" width="13.140625" style="3" hidden="1" customWidth="1"/>
    <col min="18" max="18" width="21.85546875" style="3" hidden="1" customWidth="1"/>
    <col min="19" max="19" width="11.28515625" style="3" hidden="1" customWidth="1"/>
    <col min="20" max="20" width="9" style="3" hidden="1" customWidth="1"/>
    <col min="21" max="22" width="13.140625" style="3" bestFit="1" customWidth="1"/>
    <col min="23" max="23" width="14.140625" style="3" bestFit="1" customWidth="1"/>
    <col min="24" max="25" width="14.28515625" style="3" bestFit="1" customWidth="1"/>
    <col min="26" max="29" width="13.140625" style="3" bestFit="1" customWidth="1"/>
    <col min="30" max="30" width="13.42578125" style="3" bestFit="1" customWidth="1"/>
    <col min="31" max="16384" width="9.140625" style="3"/>
  </cols>
  <sheetData>
    <row r="1" spans="1:30" x14ac:dyDescent="0.25">
      <c r="A1" s="82" t="s">
        <v>192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1:30" x14ac:dyDescent="0.25">
      <c r="A2" s="83" t="s">
        <v>48</v>
      </c>
      <c r="B2" s="53" t="s">
        <v>42</v>
      </c>
      <c r="C2" s="54"/>
      <c r="D2" s="54"/>
      <c r="E2" s="54"/>
      <c r="F2" s="54"/>
      <c r="G2" s="55"/>
      <c r="H2" s="53" t="s">
        <v>43</v>
      </c>
      <c r="I2" s="54"/>
      <c r="J2" s="54"/>
      <c r="K2" s="54"/>
      <c r="L2" s="54"/>
      <c r="M2" s="55"/>
      <c r="N2" s="53" t="s">
        <v>44</v>
      </c>
      <c r="O2" s="54"/>
      <c r="P2" s="54"/>
      <c r="Q2" s="54"/>
      <c r="R2" s="54"/>
      <c r="S2" s="54"/>
      <c r="T2" s="55"/>
      <c r="U2" s="72" t="s">
        <v>67</v>
      </c>
      <c r="V2" s="73"/>
      <c r="W2" s="73"/>
      <c r="X2" s="73"/>
      <c r="Y2" s="74"/>
      <c r="Z2" s="72" t="s">
        <v>71</v>
      </c>
      <c r="AA2" s="73"/>
      <c r="AB2" s="73"/>
      <c r="AC2" s="73"/>
      <c r="AD2" s="74"/>
    </row>
    <row r="3" spans="1:30" x14ac:dyDescent="0.25">
      <c r="A3" s="84"/>
      <c r="B3" s="58"/>
      <c r="C3" s="59"/>
      <c r="D3" s="59"/>
      <c r="E3" s="59"/>
      <c r="F3" s="59"/>
      <c r="G3" s="60"/>
      <c r="H3" s="58"/>
      <c r="I3" s="59"/>
      <c r="J3" s="59"/>
      <c r="K3" s="59"/>
      <c r="L3" s="59"/>
      <c r="M3" s="60"/>
      <c r="N3" s="58"/>
      <c r="O3" s="59"/>
      <c r="P3" s="59"/>
      <c r="Q3" s="59"/>
      <c r="R3" s="59"/>
      <c r="S3" s="59"/>
      <c r="T3" s="60"/>
      <c r="U3" s="87"/>
      <c r="V3" s="88"/>
      <c r="W3" s="88"/>
      <c r="X3" s="88"/>
      <c r="Y3" s="89"/>
      <c r="Z3" s="87"/>
      <c r="AA3" s="88"/>
      <c r="AB3" s="88"/>
      <c r="AC3" s="88"/>
      <c r="AD3" s="89"/>
    </row>
    <row r="4" spans="1:30" ht="45" x14ac:dyDescent="0.25">
      <c r="A4" s="85"/>
      <c r="B4" s="14" t="s">
        <v>23</v>
      </c>
      <c r="C4" s="15" t="s">
        <v>53</v>
      </c>
      <c r="D4" s="6" t="s">
        <v>58</v>
      </c>
      <c r="E4" s="15" t="s">
        <v>61</v>
      </c>
      <c r="F4" s="16" t="s">
        <v>52</v>
      </c>
      <c r="G4" s="15" t="s">
        <v>25</v>
      </c>
      <c r="H4" s="14" t="s">
        <v>22</v>
      </c>
      <c r="I4" s="15" t="s">
        <v>53</v>
      </c>
      <c r="J4" s="6" t="s">
        <v>58</v>
      </c>
      <c r="K4" s="15" t="s">
        <v>61</v>
      </c>
      <c r="L4" s="16" t="s">
        <v>52</v>
      </c>
      <c r="M4" s="14" t="s">
        <v>25</v>
      </c>
      <c r="N4" s="14" t="s">
        <v>22</v>
      </c>
      <c r="O4" s="15" t="s">
        <v>53</v>
      </c>
      <c r="P4" s="6" t="s">
        <v>58</v>
      </c>
      <c r="Q4" s="15" t="s">
        <v>61</v>
      </c>
      <c r="R4" s="16" t="s">
        <v>52</v>
      </c>
      <c r="S4" s="14" t="s">
        <v>25</v>
      </c>
      <c r="T4" s="15" t="s">
        <v>32</v>
      </c>
      <c r="U4" s="14" t="s">
        <v>33</v>
      </c>
      <c r="V4" s="7" t="s">
        <v>68</v>
      </c>
      <c r="W4" s="7" t="s">
        <v>69</v>
      </c>
      <c r="X4" s="7" t="s">
        <v>70</v>
      </c>
      <c r="Y4" s="14" t="s">
        <v>34</v>
      </c>
      <c r="Z4" s="7" t="s">
        <v>72</v>
      </c>
      <c r="AA4" s="7" t="s">
        <v>73</v>
      </c>
      <c r="AB4" s="7" t="s">
        <v>74</v>
      </c>
      <c r="AC4" s="7" t="s">
        <v>75</v>
      </c>
      <c r="AD4" s="7" t="s">
        <v>34</v>
      </c>
    </row>
    <row r="5" spans="1:30" ht="28.5" x14ac:dyDescent="0.25">
      <c r="A5" s="31" t="s">
        <v>40</v>
      </c>
      <c r="B5" s="32" t="s">
        <v>21</v>
      </c>
      <c r="C5" s="20">
        <v>7172.8</v>
      </c>
      <c r="D5" s="33" t="s">
        <v>57</v>
      </c>
      <c r="E5" s="32" t="s">
        <v>65</v>
      </c>
      <c r="F5" s="34" t="s">
        <v>66</v>
      </c>
      <c r="G5" s="20">
        <f>SUM(G6:G32)</f>
        <v>534441.07830937661</v>
      </c>
      <c r="H5" s="32" t="s">
        <v>21</v>
      </c>
      <c r="I5" s="20">
        <v>879.2</v>
      </c>
      <c r="J5" s="33">
        <v>86.656752362968703</v>
      </c>
      <c r="K5" s="33">
        <f>SUM(K6:K32)</f>
        <v>90.285183544795544</v>
      </c>
      <c r="L5" s="34">
        <f>(K5-J5)/J5</f>
        <v>4.1871303538227093E-2</v>
      </c>
      <c r="M5" s="20">
        <f>SUM(M6:M32)</f>
        <v>79378.733372584233</v>
      </c>
      <c r="N5" s="32" t="s">
        <v>21</v>
      </c>
      <c r="O5" s="20">
        <v>2150.25</v>
      </c>
      <c r="P5" s="33">
        <v>111.26629349162593</v>
      </c>
      <c r="Q5" s="33">
        <f>SUM(Q6:Q32)</f>
        <v>116.27501375097607</v>
      </c>
      <c r="R5" s="34">
        <f>(Q5-P5)/P5</f>
        <v>4.5015611666143131E-2</v>
      </c>
      <c r="S5" s="20">
        <f>SUM(S6:S32)</f>
        <v>250020.34831803621</v>
      </c>
      <c r="T5" s="20">
        <f>SUM(T6:T32)</f>
        <v>3333.6046442404845</v>
      </c>
      <c r="U5" s="20">
        <f>SUM(G5+M5+S5)</f>
        <v>863840.15999999701</v>
      </c>
      <c r="V5" s="20">
        <f>SUM(U5)*3</f>
        <v>2591520.4799999911</v>
      </c>
      <c r="W5" s="20">
        <f>SUM(V5)*2</f>
        <v>5183040.9599999823</v>
      </c>
      <c r="X5" s="20">
        <f>SUM(V5)*3</f>
        <v>7774561.4399999734</v>
      </c>
      <c r="Y5" s="20">
        <f>SUM(V5)*4</f>
        <v>10366081.919999965</v>
      </c>
      <c r="Z5" s="27">
        <f>SUM(Z6:Z34)</f>
        <v>1999688.0300000005</v>
      </c>
      <c r="AA5" s="27">
        <f>SUM(AA6:AA34)</f>
        <v>2981232.93</v>
      </c>
      <c r="AB5" s="27">
        <f>SUM(AB6:AB34)</f>
        <v>2205276.4900000002</v>
      </c>
      <c r="AC5" s="27">
        <f>SUM(AC6:AC34)</f>
        <v>3317974.88</v>
      </c>
      <c r="AD5" s="27">
        <f>SUM(Z5,AA5,AB5,AC5)</f>
        <v>10504172.330000002</v>
      </c>
    </row>
    <row r="6" spans="1:30" x14ac:dyDescent="0.25">
      <c r="A6" s="15" t="s">
        <v>15</v>
      </c>
      <c r="B6" s="14" t="s">
        <v>21</v>
      </c>
      <c r="C6" s="13">
        <v>7172.8</v>
      </c>
      <c r="D6" s="1">
        <v>0.78982577372638385</v>
      </c>
      <c r="E6" s="1">
        <v>0.794824671028449</v>
      </c>
      <c r="F6" s="4">
        <f t="shared" ref="F6:F30" si="0">(E6-D6)/D6</f>
        <v>6.3291139240499138E-3</v>
      </c>
      <c r="G6" s="21">
        <f t="shared" ref="G6:G30" si="1">SUM(C6*E6)</f>
        <v>5701.1184003528588</v>
      </c>
      <c r="H6" s="14" t="s">
        <v>21</v>
      </c>
      <c r="I6" s="13">
        <v>879.2</v>
      </c>
      <c r="J6" s="1">
        <v>0.78982577372638385</v>
      </c>
      <c r="K6" s="1">
        <v>0.794824671028449</v>
      </c>
      <c r="L6" s="4">
        <f>(K6-J6)/J6</f>
        <v>6.3291139240499138E-3</v>
      </c>
      <c r="M6" s="21">
        <f>SUM(I6*K6)</f>
        <v>698.80985076821241</v>
      </c>
      <c r="N6" s="14" t="s">
        <v>21</v>
      </c>
      <c r="O6" s="13">
        <v>2150.25</v>
      </c>
      <c r="P6" s="1">
        <v>0.78982577372638385</v>
      </c>
      <c r="Q6" s="1">
        <v>0.794824671028449</v>
      </c>
      <c r="R6" s="4">
        <f t="shared" ref="R6:R29" si="2">(Q6-P6)/P6</f>
        <v>6.3291139240499138E-3</v>
      </c>
      <c r="S6" s="21">
        <f>SUM(O6*Q6)</f>
        <v>1709.0717488789226</v>
      </c>
      <c r="T6" s="24">
        <f>SUM(Q6)*28.67</f>
        <v>22.787623318385634</v>
      </c>
      <c r="U6" s="29">
        <v>8109</v>
      </c>
      <c r="V6" s="36">
        <f>SUM(U6)*3</f>
        <v>24327</v>
      </c>
      <c r="W6" s="11">
        <f>SUM(V6)*2</f>
        <v>48654</v>
      </c>
      <c r="X6" s="13">
        <f t="shared" ref="X6:X34" si="3">SUM(V6)*3</f>
        <v>72981</v>
      </c>
      <c r="Y6" s="21">
        <f t="shared" ref="Y6:Y34" si="4">SUM(V6)*4</f>
        <v>97308</v>
      </c>
      <c r="Z6" s="9">
        <v>24174</v>
      </c>
      <c r="AA6" s="9">
        <v>24174</v>
      </c>
      <c r="AB6" s="11">
        <v>24378</v>
      </c>
      <c r="AC6" s="11">
        <v>24480</v>
      </c>
      <c r="AD6" s="10">
        <f>SUM(Z6,AA6,AB6,AC6)</f>
        <v>97206</v>
      </c>
    </row>
    <row r="7" spans="1:30" x14ac:dyDescent="0.25">
      <c r="A7" s="15" t="s">
        <v>11</v>
      </c>
      <c r="B7" s="14" t="s">
        <v>21</v>
      </c>
      <c r="C7" s="13">
        <v>7172.8</v>
      </c>
      <c r="D7" s="1">
        <v>7.5353966036903627E-2</v>
      </c>
      <c r="E7" s="1">
        <v>0.13374500722879701</v>
      </c>
      <c r="F7" s="4">
        <f t="shared" si="0"/>
        <v>0.77489008559014827</v>
      </c>
      <c r="G7" s="21">
        <f t="shared" si="1"/>
        <v>959.3261878507152</v>
      </c>
      <c r="H7" s="14" t="s">
        <v>21</v>
      </c>
      <c r="I7" s="13">
        <v>879.2</v>
      </c>
      <c r="J7" s="1">
        <v>7.5353966036903627E-2</v>
      </c>
      <c r="K7" s="1">
        <v>0.13374500722879701</v>
      </c>
      <c r="L7" s="4">
        <f>(K7-J7)/J7</f>
        <v>0.77489008559014827</v>
      </c>
      <c r="M7" s="21">
        <f>SUM(I7*K7)</f>
        <v>117.58861035555833</v>
      </c>
      <c r="N7" s="14" t="s">
        <v>21</v>
      </c>
      <c r="O7" s="13">
        <v>2150.25</v>
      </c>
      <c r="P7" s="1">
        <v>7.5353966036903627E-2</v>
      </c>
      <c r="Q7" s="1">
        <v>0.13374500722879701</v>
      </c>
      <c r="R7" s="4">
        <f t="shared" si="2"/>
        <v>0.77489008559014827</v>
      </c>
      <c r="S7" s="21">
        <f>SUM(O7*Q7)</f>
        <v>287.58520179372078</v>
      </c>
      <c r="T7" s="11">
        <f t="shared" ref="T7:T16" si="5">SUM(Q7)*28.67</f>
        <v>3.8344693572496102</v>
      </c>
      <c r="U7" s="30">
        <v>1364.5</v>
      </c>
      <c r="V7" s="36">
        <f t="shared" ref="V7:V32" si="6">SUM(U7)*3</f>
        <v>4093.5</v>
      </c>
      <c r="W7" s="11">
        <f t="shared" ref="W7:W34" si="7">SUM(V7)*2</f>
        <v>8187</v>
      </c>
      <c r="X7" s="13">
        <f t="shared" si="3"/>
        <v>12280.5</v>
      </c>
      <c r="Y7" s="21">
        <f t="shared" si="4"/>
        <v>16374</v>
      </c>
      <c r="Z7" s="9">
        <v>4093.5</v>
      </c>
      <c r="AA7" s="9">
        <v>4093.5</v>
      </c>
      <c r="AB7" s="11">
        <v>4230</v>
      </c>
      <c r="AC7" s="11">
        <v>4298.25</v>
      </c>
      <c r="AD7" s="10">
        <f t="shared" ref="AD7:AD34" si="8">SUM(Z7,AA7,AB7,AC7)</f>
        <v>16715.25</v>
      </c>
    </row>
    <row r="8" spans="1:30" x14ac:dyDescent="0.25">
      <c r="A8" s="19" t="s">
        <v>7</v>
      </c>
      <c r="B8" s="14" t="s">
        <v>21</v>
      </c>
      <c r="C8" s="13">
        <v>7172.8</v>
      </c>
      <c r="D8" s="1">
        <v>1.4368154083658016</v>
      </c>
      <c r="E8" s="1">
        <v>1.4702639123722701</v>
      </c>
      <c r="F8" s="4">
        <f t="shared" si="0"/>
        <v>2.3279611153747291E-2</v>
      </c>
      <c r="G8" s="21">
        <f t="shared" si="1"/>
        <v>10545.908990663818</v>
      </c>
      <c r="H8" s="14" t="s">
        <v>21</v>
      </c>
      <c r="I8" s="13">
        <v>879.2</v>
      </c>
      <c r="J8" s="1">
        <v>1.4368154083658016</v>
      </c>
      <c r="K8" s="1">
        <v>1.4702639123722701</v>
      </c>
      <c r="L8" s="4">
        <f>(K8-J8)/J8</f>
        <v>2.3279611153747291E-2</v>
      </c>
      <c r="M8" s="21">
        <f>SUM(I8*K8)</f>
        <v>1292.6560317576998</v>
      </c>
      <c r="N8" s="14" t="s">
        <v>21</v>
      </c>
      <c r="O8" s="13">
        <v>2150.25</v>
      </c>
      <c r="P8" s="1">
        <v>1.4368154083658016</v>
      </c>
      <c r="Q8" s="1">
        <v>1.4702639123722701</v>
      </c>
      <c r="R8" s="4">
        <f t="shared" si="2"/>
        <v>2.3279611153747291E-2</v>
      </c>
      <c r="S8" s="21">
        <f>SUM(O8*Q8)</f>
        <v>3161.4349775784735</v>
      </c>
      <c r="T8" s="11">
        <f t="shared" si="5"/>
        <v>42.152466367712982</v>
      </c>
      <c r="U8" s="30">
        <v>15000</v>
      </c>
      <c r="V8" s="36">
        <f t="shared" si="6"/>
        <v>45000</v>
      </c>
      <c r="W8" s="11">
        <f t="shared" si="7"/>
        <v>90000</v>
      </c>
      <c r="X8" s="13">
        <f t="shared" si="3"/>
        <v>135000</v>
      </c>
      <c r="Y8" s="21">
        <f t="shared" si="4"/>
        <v>180000</v>
      </c>
      <c r="Z8" s="9">
        <v>45000</v>
      </c>
      <c r="AA8" s="9">
        <v>45000</v>
      </c>
      <c r="AB8" s="9">
        <v>45000</v>
      </c>
      <c r="AC8" s="9">
        <v>45000</v>
      </c>
      <c r="AD8" s="10">
        <f t="shared" si="8"/>
        <v>180000</v>
      </c>
    </row>
    <row r="9" spans="1:30" x14ac:dyDescent="0.25">
      <c r="A9" s="19" t="s">
        <v>12</v>
      </c>
      <c r="B9" s="14" t="s">
        <v>21</v>
      </c>
      <c r="C9" s="13">
        <v>7172.8</v>
      </c>
      <c r="D9" s="1">
        <v>3.2464044696022936</v>
      </c>
      <c r="E9" s="1">
        <v>2.4516650738807599</v>
      </c>
      <c r="F9" s="4">
        <f>(E9-D9)/D9</f>
        <v>-0.24480603176932372</v>
      </c>
      <c r="G9" s="21">
        <f t="shared" si="1"/>
        <v>17585.303241931917</v>
      </c>
      <c r="H9" s="14" t="s">
        <v>21</v>
      </c>
      <c r="I9" s="13">
        <v>879.2</v>
      </c>
      <c r="J9" s="1">
        <v>3.2464044696022936</v>
      </c>
      <c r="K9" s="1">
        <v>2.4516650738807599</v>
      </c>
      <c r="L9" s="4">
        <f t="shared" ref="L9:L10" si="9">(K9-J9)/J9</f>
        <v>-0.24480603176932372</v>
      </c>
      <c r="M9" s="21">
        <f t="shared" ref="M9:M10" si="10">SUM(I9*K9)</f>
        <v>2155.503932955964</v>
      </c>
      <c r="N9" s="14" t="s">
        <v>21</v>
      </c>
      <c r="O9" s="13">
        <v>2150.25</v>
      </c>
      <c r="P9" s="1">
        <v>3.2464044696022936</v>
      </c>
      <c r="Q9" s="1">
        <v>2.4516650738807599</v>
      </c>
      <c r="R9" s="4">
        <f t="shared" si="2"/>
        <v>-0.24480603176932372</v>
      </c>
      <c r="S9" s="21">
        <f t="shared" ref="S9:S10" si="11">SUM(O9*Q9)</f>
        <v>5271.6928251121044</v>
      </c>
      <c r="T9" s="11">
        <f t="shared" si="5"/>
        <v>70.289237668161391</v>
      </c>
      <c r="U9" s="30">
        <v>25012.5</v>
      </c>
      <c r="V9" s="36">
        <f t="shared" si="6"/>
        <v>75037.5</v>
      </c>
      <c r="W9" s="11">
        <f t="shared" si="7"/>
        <v>150075</v>
      </c>
      <c r="X9" s="13">
        <f t="shared" si="3"/>
        <v>225112.5</v>
      </c>
      <c r="Y9" s="21">
        <f t="shared" si="4"/>
        <v>300150</v>
      </c>
      <c r="Z9" s="9">
        <v>64260</v>
      </c>
      <c r="AA9" s="9">
        <v>69390</v>
      </c>
      <c r="AB9" s="11">
        <v>81000</v>
      </c>
      <c r="AC9" s="11">
        <v>74520</v>
      </c>
      <c r="AD9" s="10">
        <f t="shared" si="8"/>
        <v>289170</v>
      </c>
    </row>
    <row r="10" spans="1:30" x14ac:dyDescent="0.25">
      <c r="A10" s="19" t="s">
        <v>10</v>
      </c>
      <c r="B10" s="14" t="s">
        <v>21</v>
      </c>
      <c r="C10" s="13">
        <v>7172.8</v>
      </c>
      <c r="D10" s="1">
        <v>1.043410032100762</v>
      </c>
      <c r="E10" s="1">
        <v>1.1868783846700399</v>
      </c>
      <c r="F10" s="4">
        <f t="shared" si="0"/>
        <v>0.13749949507426548</v>
      </c>
      <c r="G10" s="21">
        <f t="shared" si="1"/>
        <v>8513.2412775612629</v>
      </c>
      <c r="H10" s="14" t="s">
        <v>21</v>
      </c>
      <c r="I10" s="13">
        <v>879.2</v>
      </c>
      <c r="J10" s="1">
        <v>1.043410032100762</v>
      </c>
      <c r="K10" s="1">
        <v>1.1868783846700399</v>
      </c>
      <c r="L10" s="4">
        <f t="shared" si="9"/>
        <v>0.13749949507426548</v>
      </c>
      <c r="M10" s="21">
        <f t="shared" si="10"/>
        <v>1043.5034758018992</v>
      </c>
      <c r="N10" s="14" t="s">
        <v>21</v>
      </c>
      <c r="O10" s="13">
        <v>2150.25</v>
      </c>
      <c r="P10" s="1">
        <v>1.043410032100762</v>
      </c>
      <c r="Q10" s="1">
        <v>1.1868783846700399</v>
      </c>
      <c r="R10" s="4">
        <f t="shared" si="2"/>
        <v>0.13749949507426548</v>
      </c>
      <c r="S10" s="21">
        <f t="shared" si="11"/>
        <v>2552.0852466367533</v>
      </c>
      <c r="T10" s="11">
        <f t="shared" si="5"/>
        <v>34.027803288490048</v>
      </c>
      <c r="U10" s="30">
        <v>12108.83</v>
      </c>
      <c r="V10" s="36">
        <f t="shared" si="6"/>
        <v>36326.49</v>
      </c>
      <c r="W10" s="11">
        <f t="shared" si="7"/>
        <v>72652.98</v>
      </c>
      <c r="X10" s="13">
        <f t="shared" si="3"/>
        <v>108979.47</v>
      </c>
      <c r="Y10" s="21">
        <f t="shared" si="4"/>
        <v>145305.96</v>
      </c>
      <c r="Z10" s="9">
        <v>33532.14</v>
      </c>
      <c r="AA10" s="9">
        <v>44709.52</v>
      </c>
      <c r="AB10" s="11">
        <v>34873.160000000003</v>
      </c>
      <c r="AC10" s="11">
        <v>35543.67</v>
      </c>
      <c r="AD10" s="10">
        <f t="shared" si="8"/>
        <v>148658.49</v>
      </c>
    </row>
    <row r="11" spans="1:30" ht="30" x14ac:dyDescent="0.25">
      <c r="A11" s="19" t="s">
        <v>35</v>
      </c>
      <c r="B11" s="14" t="s">
        <v>21</v>
      </c>
      <c r="C11" s="13">
        <v>7172.8</v>
      </c>
      <c r="D11" s="1">
        <v>12.571328220082171</v>
      </c>
      <c r="E11" s="1">
        <v>13.1998412114974</v>
      </c>
      <c r="F11" s="4">
        <f t="shared" si="0"/>
        <v>4.9995750680600831E-2</v>
      </c>
      <c r="G11" s="21">
        <f t="shared" si="1"/>
        <v>94679.82104182856</v>
      </c>
      <c r="H11" s="14" t="s">
        <v>21</v>
      </c>
      <c r="I11" s="13">
        <v>879.2</v>
      </c>
      <c r="J11" s="1">
        <v>12.571328220082171</v>
      </c>
      <c r="K11" s="1">
        <v>13.1998412114974</v>
      </c>
      <c r="L11" s="4">
        <f t="shared" ref="L11:L29" si="12">(K11-J11)/J11</f>
        <v>4.9995750680600831E-2</v>
      </c>
      <c r="M11" s="21">
        <f t="shared" ref="M11:M30" si="13">SUM(I11*K11)</f>
        <v>11605.300393148515</v>
      </c>
      <c r="N11" s="14" t="s">
        <v>21</v>
      </c>
      <c r="O11" s="13">
        <v>2150.25</v>
      </c>
      <c r="P11" s="1">
        <v>12.571328220082171</v>
      </c>
      <c r="Q11" s="1">
        <v>13.1998412114974</v>
      </c>
      <c r="R11" s="4">
        <f t="shared" si="2"/>
        <v>4.9995750680600831E-2</v>
      </c>
      <c r="S11" s="21">
        <f>SUM(O11*Q11)</f>
        <v>28382.958565022283</v>
      </c>
      <c r="T11" s="11">
        <f t="shared" si="5"/>
        <v>378.43944753363047</v>
      </c>
      <c r="U11" s="30">
        <v>134668.08333333334</v>
      </c>
      <c r="V11" s="36">
        <f t="shared" si="6"/>
        <v>404004.25</v>
      </c>
      <c r="W11" s="11">
        <f t="shared" si="7"/>
        <v>808008.5</v>
      </c>
      <c r="X11" s="13">
        <f t="shared" si="3"/>
        <v>1212012.75</v>
      </c>
      <c r="Y11" s="21">
        <f t="shared" si="4"/>
        <v>1616017</v>
      </c>
      <c r="Z11" s="9">
        <v>372927</v>
      </c>
      <c r="AA11" s="9">
        <v>372927</v>
      </c>
      <c r="AB11" s="11">
        <v>370398.02</v>
      </c>
      <c r="AC11" s="11">
        <v>373060.43</v>
      </c>
      <c r="AD11" s="10">
        <f t="shared" si="8"/>
        <v>1489312.45</v>
      </c>
    </row>
    <row r="12" spans="1:30" ht="30" x14ac:dyDescent="0.25">
      <c r="A12" s="19" t="s">
        <v>6</v>
      </c>
      <c r="B12" s="14" t="s">
        <v>21</v>
      </c>
      <c r="C12" s="13">
        <v>7172.8</v>
      </c>
      <c r="D12" s="1">
        <v>9.7821477288506617</v>
      </c>
      <c r="E12" s="1">
        <v>10.5337303045896</v>
      </c>
      <c r="F12" s="4">
        <f t="shared" si="0"/>
        <v>7.683206148300975E-2</v>
      </c>
      <c r="G12" s="21">
        <f t="shared" si="1"/>
        <v>75556.340728760289</v>
      </c>
      <c r="H12" s="14" t="s">
        <v>21</v>
      </c>
      <c r="I12" s="13">
        <v>879.2</v>
      </c>
      <c r="J12" s="1">
        <v>9.7821477288506617</v>
      </c>
      <c r="K12" s="1">
        <v>10.5337303045896</v>
      </c>
      <c r="L12" s="4">
        <f t="shared" si="12"/>
        <v>7.683206148300975E-2</v>
      </c>
      <c r="M12" s="21">
        <f t="shared" si="13"/>
        <v>9261.2556837951761</v>
      </c>
      <c r="N12" s="14" t="s">
        <v>21</v>
      </c>
      <c r="O12" s="13">
        <v>2150.25</v>
      </c>
      <c r="P12" s="1">
        <v>9.7821477288506617</v>
      </c>
      <c r="Q12" s="1">
        <v>10.5337303045896</v>
      </c>
      <c r="R12" s="4">
        <f t="shared" si="2"/>
        <v>7.683206148300975E-2</v>
      </c>
      <c r="S12" s="21">
        <f>SUM(O12*Q12)</f>
        <v>22650.153587443787</v>
      </c>
      <c r="T12" s="11">
        <f t="shared" si="5"/>
        <v>302.00204783258386</v>
      </c>
      <c r="U12" s="30">
        <v>107467.75</v>
      </c>
      <c r="V12" s="36">
        <f t="shared" si="6"/>
        <v>322403.25</v>
      </c>
      <c r="W12" s="11">
        <f t="shared" si="7"/>
        <v>644806.5</v>
      </c>
      <c r="X12" s="13">
        <f t="shared" si="3"/>
        <v>967209.75</v>
      </c>
      <c r="Y12" s="21">
        <f t="shared" si="4"/>
        <v>1289613</v>
      </c>
      <c r="Z12" s="9">
        <v>331565.77</v>
      </c>
      <c r="AA12" s="9">
        <v>324231.28000000003</v>
      </c>
      <c r="AB12" s="11">
        <v>322650.96999999997</v>
      </c>
      <c r="AC12" s="11">
        <v>324954.63</v>
      </c>
      <c r="AD12" s="10">
        <f t="shared" si="8"/>
        <v>1303402.6499999999</v>
      </c>
    </row>
    <row r="13" spans="1:30" x14ac:dyDescent="0.25">
      <c r="A13" s="19" t="s">
        <v>37</v>
      </c>
      <c r="B13" s="14" t="s">
        <v>21</v>
      </c>
      <c r="C13" s="13">
        <v>7172.8</v>
      </c>
      <c r="D13" s="1">
        <v>0.81272954495331917</v>
      </c>
      <c r="E13" s="1">
        <v>0.81272954495331917</v>
      </c>
      <c r="F13" s="4">
        <f t="shared" si="0"/>
        <v>0</v>
      </c>
      <c r="G13" s="21">
        <f t="shared" si="1"/>
        <v>5829.5464800411683</v>
      </c>
      <c r="H13" s="14" t="s">
        <v>21</v>
      </c>
      <c r="I13" s="13">
        <v>879.2</v>
      </c>
      <c r="J13" s="1">
        <v>0.81272954495331917</v>
      </c>
      <c r="K13" s="1">
        <v>0.81272954495331917</v>
      </c>
      <c r="L13" s="4">
        <f t="shared" si="12"/>
        <v>0</v>
      </c>
      <c r="M13" s="21">
        <f t="shared" si="13"/>
        <v>714.55181592295821</v>
      </c>
      <c r="N13" s="14" t="s">
        <v>21</v>
      </c>
      <c r="O13" s="13">
        <v>2150.25</v>
      </c>
      <c r="P13" s="1">
        <v>0.81272954495331917</v>
      </c>
      <c r="Q13" s="1">
        <v>0.81272954495331917</v>
      </c>
      <c r="R13" s="4">
        <f>(Q13-P13)/P13</f>
        <v>0</v>
      </c>
      <c r="S13" s="21">
        <f>SUM(O13*Q13)</f>
        <v>1747.5717040358745</v>
      </c>
      <c r="T13" s="11">
        <f t="shared" si="5"/>
        <v>23.300956053811664</v>
      </c>
      <c r="U13" s="30">
        <v>8291.67</v>
      </c>
      <c r="V13" s="36">
        <f t="shared" si="6"/>
        <v>24875.010000000002</v>
      </c>
      <c r="W13" s="11">
        <f t="shared" si="7"/>
        <v>49750.020000000004</v>
      </c>
      <c r="X13" s="13">
        <f t="shared" si="3"/>
        <v>74625.03</v>
      </c>
      <c r="Y13" s="21">
        <f t="shared" si="4"/>
        <v>99500.040000000008</v>
      </c>
      <c r="Z13" s="11">
        <v>814</v>
      </c>
      <c r="AA13" s="11">
        <v>29253.94</v>
      </c>
      <c r="AB13" s="11">
        <v>43827.89</v>
      </c>
      <c r="AC13" s="11">
        <v>27899</v>
      </c>
      <c r="AD13" s="10">
        <f t="shared" si="8"/>
        <v>101794.83</v>
      </c>
    </row>
    <row r="14" spans="1:30" ht="30" x14ac:dyDescent="0.25">
      <c r="A14" s="19" t="s">
        <v>0</v>
      </c>
      <c r="B14" s="14" t="s">
        <v>21</v>
      </c>
      <c r="C14" s="13">
        <v>7172.8</v>
      </c>
      <c r="D14" s="1">
        <v>9.8017594158151394E-2</v>
      </c>
      <c r="E14" s="1">
        <v>9.8017594158151394E-2</v>
      </c>
      <c r="F14" s="4">
        <f t="shared" si="0"/>
        <v>0</v>
      </c>
      <c r="G14" s="21">
        <f t="shared" si="1"/>
        <v>703.06059937758835</v>
      </c>
      <c r="H14" s="14" t="s">
        <v>21</v>
      </c>
      <c r="I14" s="13">
        <v>879.2</v>
      </c>
      <c r="J14" s="1">
        <v>9.8017594158151394E-2</v>
      </c>
      <c r="K14" s="1">
        <v>9.8017594158151394E-2</v>
      </c>
      <c r="L14" s="4">
        <f t="shared" si="12"/>
        <v>0</v>
      </c>
      <c r="M14" s="21">
        <f t="shared" si="13"/>
        <v>86.177068783846707</v>
      </c>
      <c r="N14" s="14" t="s">
        <v>21</v>
      </c>
      <c r="O14" s="13">
        <v>2150.25</v>
      </c>
      <c r="P14" s="1">
        <v>9.8017594158151394E-2</v>
      </c>
      <c r="Q14" s="1">
        <v>9.8017594158151394E-2</v>
      </c>
      <c r="R14" s="4">
        <f t="shared" si="2"/>
        <v>0</v>
      </c>
      <c r="S14" s="21">
        <f>SUM(O14*Q14)</f>
        <v>210.76233183856505</v>
      </c>
      <c r="T14" s="11">
        <f t="shared" si="5"/>
        <v>2.8101644245142006</v>
      </c>
      <c r="U14" s="30">
        <v>1000</v>
      </c>
      <c r="V14" s="36">
        <f t="shared" si="6"/>
        <v>3000</v>
      </c>
      <c r="W14" s="11">
        <f t="shared" si="7"/>
        <v>6000</v>
      </c>
      <c r="X14" s="13">
        <f t="shared" si="3"/>
        <v>9000</v>
      </c>
      <c r="Y14" s="21">
        <f t="shared" si="4"/>
        <v>12000</v>
      </c>
      <c r="Z14" s="9"/>
      <c r="AA14" s="9">
        <v>370.02</v>
      </c>
      <c r="AB14" s="11">
        <v>4624</v>
      </c>
      <c r="AC14" s="11">
        <v>6907.52</v>
      </c>
      <c r="AD14" s="10">
        <f t="shared" si="8"/>
        <v>11901.54</v>
      </c>
    </row>
    <row r="15" spans="1:30" ht="30" x14ac:dyDescent="0.25">
      <c r="A15" s="19" t="s">
        <v>29</v>
      </c>
      <c r="B15" s="14" t="s">
        <v>21</v>
      </c>
      <c r="C15" s="13">
        <v>7172.8</v>
      </c>
      <c r="D15" s="1">
        <v>0.28588497635325544</v>
      </c>
      <c r="E15" s="1">
        <v>0.28588497635325544</v>
      </c>
      <c r="F15" s="4">
        <f t="shared" si="0"/>
        <v>0</v>
      </c>
      <c r="G15" s="22">
        <f t="shared" si="1"/>
        <v>2050.5957583866307</v>
      </c>
      <c r="H15" s="14" t="s">
        <v>21</v>
      </c>
      <c r="I15" s="13">
        <v>879.2</v>
      </c>
      <c r="J15" s="1">
        <v>0.28588497635325544</v>
      </c>
      <c r="K15" s="1">
        <v>0.28588497635325544</v>
      </c>
      <c r="L15" s="4">
        <f t="shared" si="12"/>
        <v>0</v>
      </c>
      <c r="M15" s="21">
        <f t="shared" si="13"/>
        <v>251.35007120978219</v>
      </c>
      <c r="N15" s="14" t="s">
        <v>21</v>
      </c>
      <c r="O15" s="13">
        <v>2150.25</v>
      </c>
      <c r="P15" s="1">
        <v>0.28588497635325544</v>
      </c>
      <c r="Q15" s="1">
        <v>0.28588497635325544</v>
      </c>
      <c r="R15" s="4">
        <f t="shared" si="2"/>
        <v>0</v>
      </c>
      <c r="S15" s="21">
        <f>SUM(O15*Q15)</f>
        <v>614.72417040358755</v>
      </c>
      <c r="T15" s="11">
        <f t="shared" si="5"/>
        <v>8.1963222720478335</v>
      </c>
      <c r="U15" s="30">
        <v>2916.67</v>
      </c>
      <c r="V15" s="36">
        <f t="shared" si="6"/>
        <v>8750.01</v>
      </c>
      <c r="W15" s="11">
        <f t="shared" si="7"/>
        <v>17500.02</v>
      </c>
      <c r="X15" s="13">
        <f t="shared" si="3"/>
        <v>26250.03</v>
      </c>
      <c r="Y15" s="21">
        <f t="shared" si="4"/>
        <v>35000.04</v>
      </c>
      <c r="Z15" s="11">
        <v>17703</v>
      </c>
      <c r="AA15" s="11">
        <v>13803.6</v>
      </c>
      <c r="AB15" s="11">
        <v>20521.900000000001</v>
      </c>
      <c r="AC15" s="11"/>
      <c r="AD15" s="10">
        <f t="shared" si="8"/>
        <v>52028.5</v>
      </c>
    </row>
    <row r="16" spans="1:30" x14ac:dyDescent="0.25">
      <c r="A16" s="19" t="s">
        <v>55</v>
      </c>
      <c r="B16" s="14" t="s">
        <v>21</v>
      </c>
      <c r="C16" s="13">
        <v>7172.8</v>
      </c>
      <c r="D16" s="1">
        <v>0.49008797079075694</v>
      </c>
      <c r="E16" s="1">
        <v>0.49008797079075694</v>
      </c>
      <c r="F16" s="4">
        <f t="shared" si="0"/>
        <v>0</v>
      </c>
      <c r="G16" s="22">
        <f t="shared" si="1"/>
        <v>3515.3029968879414</v>
      </c>
      <c r="H16" s="14" t="s">
        <v>21</v>
      </c>
      <c r="I16" s="13">
        <v>879.2</v>
      </c>
      <c r="J16" s="1">
        <v>0.49008797079075694</v>
      </c>
      <c r="K16" s="1">
        <v>0.49008797079075694</v>
      </c>
      <c r="L16" s="4">
        <f t="shared" si="12"/>
        <v>0</v>
      </c>
      <c r="M16" s="21">
        <f t="shared" si="13"/>
        <v>430.88534391923355</v>
      </c>
      <c r="N16" s="14" t="s">
        <v>21</v>
      </c>
      <c r="O16" s="13">
        <v>2150.25</v>
      </c>
      <c r="P16" s="1">
        <v>0.49008797079075694</v>
      </c>
      <c r="Q16" s="1">
        <v>0.49008797079075694</v>
      </c>
      <c r="R16" s="4">
        <f t="shared" si="2"/>
        <v>0</v>
      </c>
      <c r="S16" s="21">
        <f t="shared" ref="S16" si="14">SUM(O16*Q16)</f>
        <v>1053.8116591928251</v>
      </c>
      <c r="T16" s="11">
        <f t="shared" si="5"/>
        <v>14.050822122571002</v>
      </c>
      <c r="U16" s="30">
        <v>5000</v>
      </c>
      <c r="V16" s="36">
        <f t="shared" si="6"/>
        <v>15000</v>
      </c>
      <c r="W16" s="11">
        <f t="shared" si="7"/>
        <v>30000</v>
      </c>
      <c r="X16" s="13">
        <f t="shared" si="3"/>
        <v>45000</v>
      </c>
      <c r="Y16" s="21">
        <f t="shared" si="4"/>
        <v>60000</v>
      </c>
      <c r="Z16" s="11"/>
      <c r="AA16" s="12"/>
      <c r="AB16" s="11"/>
      <c r="AC16" s="11">
        <v>54000</v>
      </c>
      <c r="AD16" s="10">
        <f t="shared" si="8"/>
        <v>54000</v>
      </c>
    </row>
    <row r="17" spans="1:38" x14ac:dyDescent="0.25">
      <c r="A17" s="19" t="s">
        <v>39</v>
      </c>
      <c r="B17" s="14" t="s">
        <v>21</v>
      </c>
      <c r="C17" s="13">
        <v>7172.8</v>
      </c>
      <c r="D17" s="1">
        <v>2.3286140089418779</v>
      </c>
      <c r="E17" s="1">
        <v>2.3286140089418779</v>
      </c>
      <c r="F17" s="4">
        <f t="shared" si="0"/>
        <v>0</v>
      </c>
      <c r="G17" s="22">
        <f t="shared" si="1"/>
        <v>16702.682563338301</v>
      </c>
      <c r="H17" s="14" t="s">
        <v>21</v>
      </c>
      <c r="I17" s="13">
        <v>879.2</v>
      </c>
      <c r="J17" s="1">
        <v>2.3286140089418779</v>
      </c>
      <c r="K17" s="1">
        <v>2.3286140089418779</v>
      </c>
      <c r="L17" s="4">
        <f t="shared" si="12"/>
        <v>0</v>
      </c>
      <c r="M17" s="22">
        <f t="shared" si="13"/>
        <v>2047.317436661699</v>
      </c>
      <c r="N17" s="14" t="s">
        <v>21</v>
      </c>
      <c r="O17" s="13">
        <v>2150.25</v>
      </c>
      <c r="P17" s="1"/>
      <c r="Q17" s="1"/>
      <c r="R17" s="4"/>
      <c r="S17" s="22"/>
      <c r="T17" s="11"/>
      <c r="U17" s="30">
        <v>18750</v>
      </c>
      <c r="V17" s="36">
        <f t="shared" si="6"/>
        <v>56250</v>
      </c>
      <c r="W17" s="11">
        <f t="shared" si="7"/>
        <v>112500</v>
      </c>
      <c r="X17" s="13">
        <f t="shared" si="3"/>
        <v>168750</v>
      </c>
      <c r="Y17" s="21">
        <f t="shared" si="4"/>
        <v>225000</v>
      </c>
      <c r="Z17" s="9">
        <v>78124.56</v>
      </c>
      <c r="AA17" s="9">
        <v>4710.51</v>
      </c>
      <c r="AB17" s="11"/>
      <c r="AC17" s="11">
        <v>68130.78</v>
      </c>
      <c r="AD17" s="10">
        <f t="shared" si="8"/>
        <v>150965.84999999998</v>
      </c>
    </row>
    <row r="18" spans="1:38" x14ac:dyDescent="0.25">
      <c r="A18" s="19" t="s">
        <v>26</v>
      </c>
      <c r="B18" s="14" t="s">
        <v>21</v>
      </c>
      <c r="C18" s="13">
        <v>7172.8</v>
      </c>
      <c r="D18" s="1">
        <v>3.7965411224648156</v>
      </c>
      <c r="E18" s="1">
        <v>3.9863520301894102</v>
      </c>
      <c r="F18" s="4">
        <f t="shared" si="0"/>
        <v>4.9995746549786967E-2</v>
      </c>
      <c r="G18" s="21">
        <f t="shared" si="1"/>
        <v>28593.305842142603</v>
      </c>
      <c r="H18" s="14" t="s">
        <v>21</v>
      </c>
      <c r="I18" s="13">
        <v>879.2</v>
      </c>
      <c r="J18" s="1">
        <v>3.7965411224648156</v>
      </c>
      <c r="K18" s="1">
        <v>3.9863520301894102</v>
      </c>
      <c r="L18" s="4">
        <f t="shared" si="12"/>
        <v>4.9995746549786967E-2</v>
      </c>
      <c r="M18" s="21">
        <f t="shared" si="13"/>
        <v>3504.8007049425296</v>
      </c>
      <c r="N18" s="14" t="s">
        <v>21</v>
      </c>
      <c r="O18" s="13">
        <v>2150.25</v>
      </c>
      <c r="P18" s="1">
        <v>3.7965411224648156</v>
      </c>
      <c r="Q18" s="1">
        <v>3.9863520301894102</v>
      </c>
      <c r="R18" s="4">
        <f t="shared" si="2"/>
        <v>4.9995746549786967E-2</v>
      </c>
      <c r="S18" s="21">
        <f t="shared" ref="S18:S24" si="15">SUM(O18*Q18)</f>
        <v>8571.6534529147793</v>
      </c>
      <c r="T18" s="11">
        <f t="shared" ref="T18:T29" si="16">SUM(Q18)*28.67</f>
        <v>114.2887127055304</v>
      </c>
      <c r="U18" s="30">
        <v>40669.761166666671</v>
      </c>
      <c r="V18" s="36">
        <f t="shared" si="6"/>
        <v>122009.28350000002</v>
      </c>
      <c r="W18" s="11">
        <f t="shared" si="7"/>
        <v>244018.56700000004</v>
      </c>
      <c r="X18" s="13">
        <f t="shared" si="3"/>
        <v>366027.85050000006</v>
      </c>
      <c r="Y18" s="21">
        <f t="shared" si="4"/>
        <v>488037.13400000008</v>
      </c>
      <c r="Z18" s="9">
        <v>108177.13</v>
      </c>
      <c r="AA18" s="9">
        <v>112623.93</v>
      </c>
      <c r="AB18" s="11">
        <v>111860.2</v>
      </c>
      <c r="AC18" s="11">
        <v>112664.22</v>
      </c>
      <c r="AD18" s="10">
        <f t="shared" si="8"/>
        <v>445325.48</v>
      </c>
    </row>
    <row r="19" spans="1:38" ht="30" x14ac:dyDescent="0.25">
      <c r="A19" s="19" t="s">
        <v>27</v>
      </c>
      <c r="B19" s="14" t="s">
        <v>21</v>
      </c>
      <c r="C19" s="13">
        <v>7172.8</v>
      </c>
      <c r="D19" s="1">
        <v>2.9542086141129</v>
      </c>
      <c r="E19" s="1">
        <v>3.1811865029772801</v>
      </c>
      <c r="F19" s="4">
        <f t="shared" si="0"/>
        <v>7.6832044893531598E-2</v>
      </c>
      <c r="G19" s="21">
        <f t="shared" si="1"/>
        <v>22818.014548555435</v>
      </c>
      <c r="H19" s="14" t="s">
        <v>21</v>
      </c>
      <c r="I19" s="13">
        <v>879.2</v>
      </c>
      <c r="J19" s="1">
        <v>2.9542086141129</v>
      </c>
      <c r="K19" s="1">
        <v>3.1811865029772801</v>
      </c>
      <c r="L19" s="4">
        <f t="shared" si="12"/>
        <v>7.6832044893531598E-2</v>
      </c>
      <c r="M19" s="21">
        <f t="shared" si="13"/>
        <v>2796.8991734176248</v>
      </c>
      <c r="N19" s="14" t="s">
        <v>21</v>
      </c>
      <c r="O19" s="13">
        <v>2150.25</v>
      </c>
      <c r="P19" s="1">
        <v>2.9542086141129</v>
      </c>
      <c r="Q19" s="1">
        <v>3.1811865029772801</v>
      </c>
      <c r="R19" s="4">
        <f t="shared" si="2"/>
        <v>7.6832044893531598E-2</v>
      </c>
      <c r="S19" s="21">
        <f t="shared" si="15"/>
        <v>6840.3462780268965</v>
      </c>
      <c r="T19" s="11">
        <f t="shared" si="16"/>
        <v>91.204617040358627</v>
      </c>
      <c r="U19" s="30">
        <v>32455.2605</v>
      </c>
      <c r="V19" s="36">
        <f t="shared" si="6"/>
        <v>97365.781499999997</v>
      </c>
      <c r="W19" s="11">
        <f t="shared" si="7"/>
        <v>194731.56299999999</v>
      </c>
      <c r="X19" s="13">
        <f t="shared" si="3"/>
        <v>292097.34450000001</v>
      </c>
      <c r="Y19" s="21">
        <f t="shared" si="4"/>
        <v>389463.12599999999</v>
      </c>
      <c r="Z19" s="9">
        <v>99206.37</v>
      </c>
      <c r="AA19" s="9">
        <v>97166.24</v>
      </c>
      <c r="AB19" s="11">
        <v>97440.62</v>
      </c>
      <c r="AC19" s="11">
        <v>96040.47</v>
      </c>
      <c r="AD19" s="10">
        <f t="shared" si="8"/>
        <v>389853.69999999995</v>
      </c>
      <c r="AG19" s="52"/>
      <c r="AH19" s="52"/>
      <c r="AI19" s="52"/>
      <c r="AJ19" s="52"/>
      <c r="AK19" s="52"/>
      <c r="AL19" s="52"/>
    </row>
    <row r="20" spans="1:38" x14ac:dyDescent="0.25">
      <c r="A20" s="19" t="s">
        <v>8</v>
      </c>
      <c r="B20" s="14" t="s">
        <v>21</v>
      </c>
      <c r="C20" s="13">
        <v>7172.8</v>
      </c>
      <c r="D20" s="1">
        <v>12.3805208565692</v>
      </c>
      <c r="E20" s="1">
        <v>13.1235361365157</v>
      </c>
      <c r="F20" s="4">
        <f t="shared" si="0"/>
        <v>6.0014864362693585E-2</v>
      </c>
      <c r="G20" s="21">
        <f t="shared" si="1"/>
        <v>94132.499999999811</v>
      </c>
      <c r="H20" s="14" t="s">
        <v>21</v>
      </c>
      <c r="I20" s="13">
        <v>879.2</v>
      </c>
      <c r="J20" s="1">
        <v>22.445404913557699</v>
      </c>
      <c r="K20" s="1">
        <v>24.3033439490445</v>
      </c>
      <c r="L20" s="4">
        <f t="shared" si="12"/>
        <v>8.2775919732441541E-2</v>
      </c>
      <c r="M20" s="21">
        <f t="shared" si="13"/>
        <v>21367.499999999924</v>
      </c>
      <c r="N20" s="14" t="s">
        <v>21</v>
      </c>
      <c r="O20" s="13">
        <v>2150.25</v>
      </c>
      <c r="P20" s="1">
        <v>50.476456226020197</v>
      </c>
      <c r="Q20" s="1">
        <v>53.714684339030299</v>
      </c>
      <c r="R20" s="4">
        <f t="shared" si="2"/>
        <v>6.4153238066281329E-2</v>
      </c>
      <c r="S20" s="21">
        <f>SUM(O20*Q20)</f>
        <v>115499.9999999999</v>
      </c>
      <c r="T20" s="11">
        <f t="shared" si="16"/>
        <v>1539.9999999999989</v>
      </c>
      <c r="U20" s="30">
        <v>230999.99999999965</v>
      </c>
      <c r="V20" s="36">
        <f t="shared" si="6"/>
        <v>692999.99999999895</v>
      </c>
      <c r="W20" s="11">
        <f t="shared" si="7"/>
        <v>1385999.9999999979</v>
      </c>
      <c r="X20" s="13">
        <f t="shared" si="3"/>
        <v>2078999.9999999967</v>
      </c>
      <c r="Y20" s="21">
        <f t="shared" si="4"/>
        <v>2771999.9999999958</v>
      </c>
      <c r="Z20" s="9">
        <v>396500</v>
      </c>
      <c r="AA20" s="9">
        <v>693000</v>
      </c>
      <c r="AB20" s="11">
        <v>693000</v>
      </c>
      <c r="AC20" s="11">
        <v>598500</v>
      </c>
      <c r="AD20" s="10">
        <f t="shared" si="8"/>
        <v>2381000</v>
      </c>
      <c r="AG20" s="52"/>
      <c r="AH20" s="52"/>
      <c r="AI20" s="52"/>
      <c r="AJ20" s="52"/>
      <c r="AK20" s="52"/>
      <c r="AL20" s="52"/>
    </row>
    <row r="21" spans="1:38" x14ac:dyDescent="0.25">
      <c r="A21" s="19" t="s">
        <v>4</v>
      </c>
      <c r="B21" s="14" t="s">
        <v>21</v>
      </c>
      <c r="C21" s="13">
        <v>7172.8</v>
      </c>
      <c r="D21" s="1">
        <v>0.17561518292533509</v>
      </c>
      <c r="E21" s="1">
        <v>0.17561518292533509</v>
      </c>
      <c r="F21" s="4">
        <f t="shared" si="0"/>
        <v>0</v>
      </c>
      <c r="G21" s="21">
        <f t="shared" si="1"/>
        <v>1259.6525840868435</v>
      </c>
      <c r="H21" s="14" t="s">
        <v>21</v>
      </c>
      <c r="I21" s="13">
        <v>879.2</v>
      </c>
      <c r="J21" s="1">
        <v>0.17561518292533509</v>
      </c>
      <c r="K21" s="1">
        <v>0.17561518292533509</v>
      </c>
      <c r="L21" s="4">
        <f t="shared" si="12"/>
        <v>0</v>
      </c>
      <c r="M21" s="21">
        <f t="shared" si="13"/>
        <v>154.40086882795461</v>
      </c>
      <c r="N21" s="14" t="s">
        <v>21</v>
      </c>
      <c r="O21" s="13">
        <v>2150.25</v>
      </c>
      <c r="P21" s="1">
        <v>0.17561518292533509</v>
      </c>
      <c r="Q21" s="1">
        <v>0.17561518292533509</v>
      </c>
      <c r="R21" s="4">
        <f t="shared" si="2"/>
        <v>0</v>
      </c>
      <c r="S21" s="21">
        <f t="shared" si="15"/>
        <v>377.61654708520177</v>
      </c>
      <c r="T21" s="11">
        <f t="shared" si="16"/>
        <v>5.0348872944693577</v>
      </c>
      <c r="U21" s="30">
        <v>1791.67</v>
      </c>
      <c r="V21" s="36">
        <f t="shared" si="6"/>
        <v>5375.01</v>
      </c>
      <c r="W21" s="11">
        <f t="shared" si="7"/>
        <v>10750.02</v>
      </c>
      <c r="X21" s="13">
        <f t="shared" si="3"/>
        <v>16125.03</v>
      </c>
      <c r="Y21" s="21">
        <f t="shared" si="4"/>
        <v>21500.04</v>
      </c>
      <c r="Z21" s="9">
        <v>3500</v>
      </c>
      <c r="AA21" s="9"/>
      <c r="AB21" s="11"/>
      <c r="AC21" s="11">
        <v>18175</v>
      </c>
      <c r="AD21" s="10">
        <f t="shared" si="8"/>
        <v>21675</v>
      </c>
      <c r="AG21" s="52"/>
      <c r="AH21" s="52"/>
      <c r="AI21" s="52"/>
      <c r="AJ21" s="52"/>
      <c r="AK21" s="52"/>
      <c r="AL21" s="52"/>
    </row>
    <row r="22" spans="1:38" x14ac:dyDescent="0.25">
      <c r="A22" s="19" t="s">
        <v>5</v>
      </c>
      <c r="B22" s="14" t="s">
        <v>21</v>
      </c>
      <c r="C22" s="13">
        <v>7172.8</v>
      </c>
      <c r="D22" s="1">
        <v>0.39207037663260558</v>
      </c>
      <c r="E22" s="1">
        <v>0.39207037663260558</v>
      </c>
      <c r="F22" s="4">
        <f t="shared" si="0"/>
        <v>0</v>
      </c>
      <c r="G22" s="21">
        <f t="shared" si="1"/>
        <v>2812.2423975103534</v>
      </c>
      <c r="H22" s="14" t="s">
        <v>21</v>
      </c>
      <c r="I22" s="13">
        <v>879.2</v>
      </c>
      <c r="J22" s="1">
        <v>0.39207037663260558</v>
      </c>
      <c r="K22" s="1">
        <v>0.39207037663260558</v>
      </c>
      <c r="L22" s="4">
        <f t="shared" si="12"/>
        <v>0</v>
      </c>
      <c r="M22" s="21">
        <f t="shared" si="13"/>
        <v>344.70827513538683</v>
      </c>
      <c r="N22" s="14" t="s">
        <v>21</v>
      </c>
      <c r="O22" s="13">
        <v>2150.25</v>
      </c>
      <c r="P22" s="1">
        <v>0.39207037663260558</v>
      </c>
      <c r="Q22" s="1">
        <v>0.39207037663260558</v>
      </c>
      <c r="R22" s="4">
        <f t="shared" si="2"/>
        <v>0</v>
      </c>
      <c r="S22" s="21">
        <f t="shared" si="15"/>
        <v>843.04932735426019</v>
      </c>
      <c r="T22" s="11">
        <f t="shared" si="16"/>
        <v>11.240657698056802</v>
      </c>
      <c r="U22" s="30">
        <v>4000</v>
      </c>
      <c r="V22" s="36">
        <f t="shared" si="6"/>
        <v>12000</v>
      </c>
      <c r="W22" s="11">
        <f t="shared" si="7"/>
        <v>24000</v>
      </c>
      <c r="X22" s="13">
        <f t="shared" si="3"/>
        <v>36000</v>
      </c>
      <c r="Y22" s="21">
        <f t="shared" si="4"/>
        <v>48000</v>
      </c>
      <c r="Z22" s="9">
        <v>8955.0499999999993</v>
      </c>
      <c r="AA22" s="9">
        <v>10735.07</v>
      </c>
      <c r="AB22" s="11">
        <v>8801.36</v>
      </c>
      <c r="AC22" s="11">
        <v>19313.05</v>
      </c>
      <c r="AD22" s="10">
        <f t="shared" si="8"/>
        <v>47804.53</v>
      </c>
      <c r="AG22" s="52"/>
      <c r="AH22" s="52"/>
      <c r="AI22" s="52"/>
      <c r="AJ22" s="52"/>
      <c r="AK22" s="52"/>
      <c r="AL22" s="52"/>
    </row>
    <row r="23" spans="1:38" x14ac:dyDescent="0.25">
      <c r="A23" s="19" t="s">
        <v>2</v>
      </c>
      <c r="B23" s="14" t="s">
        <v>21</v>
      </c>
      <c r="C23" s="13">
        <v>7172.8</v>
      </c>
      <c r="D23" s="1">
        <v>0.29405278247445416</v>
      </c>
      <c r="E23" s="1">
        <v>0.36756597809306701</v>
      </c>
      <c r="F23" s="4">
        <f t="shared" si="0"/>
        <v>0.2499999999999977</v>
      </c>
      <c r="G23" s="21">
        <f t="shared" si="1"/>
        <v>2636.4772476659509</v>
      </c>
      <c r="H23" s="14" t="s">
        <v>21</v>
      </c>
      <c r="I23" s="13">
        <v>879.2</v>
      </c>
      <c r="J23" s="1">
        <v>0.29405278247445416</v>
      </c>
      <c r="K23" s="1">
        <v>0.36756597809306701</v>
      </c>
      <c r="L23" s="4">
        <f t="shared" si="12"/>
        <v>0.2499999999999977</v>
      </c>
      <c r="M23" s="21">
        <f t="shared" si="13"/>
        <v>323.16400793942455</v>
      </c>
      <c r="N23" s="14" t="s">
        <v>21</v>
      </c>
      <c r="O23" s="13">
        <v>2150.25</v>
      </c>
      <c r="P23" s="1">
        <v>0.29405278247445416</v>
      </c>
      <c r="Q23" s="1">
        <v>0.36756597809306701</v>
      </c>
      <c r="R23" s="4">
        <f t="shared" si="2"/>
        <v>0.2499999999999977</v>
      </c>
      <c r="S23" s="21">
        <f t="shared" si="15"/>
        <v>790.35874439461736</v>
      </c>
      <c r="T23" s="11">
        <f t="shared" si="16"/>
        <v>10.538116591928231</v>
      </c>
      <c r="U23" s="30">
        <v>3750</v>
      </c>
      <c r="V23" s="36">
        <f t="shared" si="6"/>
        <v>11250</v>
      </c>
      <c r="W23" s="11">
        <f t="shared" si="7"/>
        <v>22500</v>
      </c>
      <c r="X23" s="13">
        <f t="shared" si="3"/>
        <v>33750</v>
      </c>
      <c r="Y23" s="21">
        <f t="shared" si="4"/>
        <v>45000</v>
      </c>
      <c r="Z23" s="11">
        <v>11484.36</v>
      </c>
      <c r="AA23" s="11">
        <v>8511.59</v>
      </c>
      <c r="AB23" s="11">
        <v>9114.76</v>
      </c>
      <c r="AC23" s="11">
        <v>9831.6299999999992</v>
      </c>
      <c r="AD23" s="13">
        <f t="shared" si="8"/>
        <v>38942.339999999997</v>
      </c>
      <c r="AG23" s="52"/>
      <c r="AH23" s="52"/>
      <c r="AI23" s="52"/>
      <c r="AJ23" s="52"/>
      <c r="AK23" s="52"/>
      <c r="AL23" s="52"/>
    </row>
    <row r="24" spans="1:38" x14ac:dyDescent="0.25">
      <c r="A24" s="19" t="s">
        <v>9</v>
      </c>
      <c r="B24" s="14" t="s">
        <v>21</v>
      </c>
      <c r="C24" s="13">
        <v>7172.8</v>
      </c>
      <c r="D24" s="1">
        <v>2.0693739126173147</v>
      </c>
      <c r="E24" s="1">
        <v>2.0693739126173147</v>
      </c>
      <c r="F24" s="4">
        <f t="shared" si="0"/>
        <v>0</v>
      </c>
      <c r="G24" s="21">
        <f t="shared" si="1"/>
        <v>14843.205200421475</v>
      </c>
      <c r="H24" s="14" t="s">
        <v>21</v>
      </c>
      <c r="I24" s="13">
        <v>879.2</v>
      </c>
      <c r="J24" s="1">
        <v>2.0693739126173147</v>
      </c>
      <c r="K24" s="1">
        <v>2.0693739126173147</v>
      </c>
      <c r="L24" s="4">
        <f t="shared" si="12"/>
        <v>0</v>
      </c>
      <c r="M24" s="21">
        <f t="shared" si="13"/>
        <v>1819.3935439731433</v>
      </c>
      <c r="N24" s="14" t="s">
        <v>21</v>
      </c>
      <c r="O24" s="13">
        <v>2150.25</v>
      </c>
      <c r="P24" s="1">
        <v>2.0693739126173147</v>
      </c>
      <c r="Q24" s="1">
        <v>2.0693739126173147</v>
      </c>
      <c r="R24" s="4">
        <f t="shared" si="2"/>
        <v>0</v>
      </c>
      <c r="S24" s="21">
        <f t="shared" si="15"/>
        <v>4449.6712556053808</v>
      </c>
      <c r="T24" s="11">
        <f t="shared" si="16"/>
        <v>59.328950074738415</v>
      </c>
      <c r="U24" s="30">
        <v>21112.27</v>
      </c>
      <c r="V24" s="36">
        <f t="shared" si="6"/>
        <v>63336.81</v>
      </c>
      <c r="W24" s="11">
        <f t="shared" si="7"/>
        <v>126673.62</v>
      </c>
      <c r="X24" s="13">
        <f t="shared" si="3"/>
        <v>190010.43</v>
      </c>
      <c r="Y24" s="21">
        <f t="shared" si="4"/>
        <v>253347.24</v>
      </c>
      <c r="Z24" s="9">
        <v>75075.039999999994</v>
      </c>
      <c r="AA24" s="9">
        <v>58878.9</v>
      </c>
      <c r="AB24" s="11">
        <v>58878.9</v>
      </c>
      <c r="AC24" s="11">
        <v>58878.9</v>
      </c>
      <c r="AD24" s="10">
        <f t="shared" si="8"/>
        <v>251711.74</v>
      </c>
      <c r="AG24" s="52"/>
      <c r="AH24" s="52"/>
      <c r="AI24" s="52"/>
      <c r="AJ24" s="52"/>
      <c r="AK24" s="52"/>
      <c r="AL24" s="52"/>
    </row>
    <row r="25" spans="1:38" x14ac:dyDescent="0.25">
      <c r="A25" s="19" t="s">
        <v>1</v>
      </c>
      <c r="B25" s="14" t="s">
        <v>21</v>
      </c>
      <c r="C25" s="13">
        <v>7172.8</v>
      </c>
      <c r="D25" s="1">
        <v>8.1681001739812298E-2</v>
      </c>
      <c r="E25" s="1">
        <v>8.1681001739812298E-2</v>
      </c>
      <c r="F25" s="4">
        <f t="shared" si="0"/>
        <v>0</v>
      </c>
      <c r="G25" s="21">
        <f t="shared" si="1"/>
        <v>585.88148927932571</v>
      </c>
      <c r="H25" s="14" t="s">
        <v>21</v>
      </c>
      <c r="I25" s="13">
        <v>879.2</v>
      </c>
      <c r="J25" s="1">
        <v>8.1681001739812298E-2</v>
      </c>
      <c r="K25" s="1">
        <v>8.1681001739812298E-2</v>
      </c>
      <c r="L25" s="4">
        <f t="shared" si="12"/>
        <v>0</v>
      </c>
      <c r="M25" s="21">
        <f t="shared" si="13"/>
        <v>71.813936729642975</v>
      </c>
      <c r="N25" s="14" t="s">
        <v>21</v>
      </c>
      <c r="O25" s="13">
        <v>2150.25</v>
      </c>
      <c r="P25" s="1">
        <v>8.1681001739812298E-2</v>
      </c>
      <c r="Q25" s="1">
        <v>8.1681001739812298E-2</v>
      </c>
      <c r="R25" s="4">
        <f t="shared" si="2"/>
        <v>0</v>
      </c>
      <c r="S25" s="21">
        <f>SUM(O25*Q25)</f>
        <v>175.6345739910314</v>
      </c>
      <c r="T25" s="11">
        <f t="shared" si="16"/>
        <v>2.3417943198804188</v>
      </c>
      <c r="U25" s="30">
        <v>833.33</v>
      </c>
      <c r="V25" s="36">
        <f t="shared" si="6"/>
        <v>2499.9900000000002</v>
      </c>
      <c r="W25" s="11">
        <f t="shared" si="7"/>
        <v>4999.9800000000005</v>
      </c>
      <c r="X25" s="13">
        <f t="shared" si="3"/>
        <v>7499.9700000000012</v>
      </c>
      <c r="Y25" s="21">
        <f t="shared" si="4"/>
        <v>9999.9600000000009</v>
      </c>
      <c r="Z25" s="9"/>
      <c r="AA25" s="9">
        <v>11210</v>
      </c>
      <c r="AB25" s="11"/>
      <c r="AC25" s="11"/>
      <c r="AD25" s="10">
        <f t="shared" si="8"/>
        <v>11210</v>
      </c>
    </row>
    <row r="26" spans="1:38" x14ac:dyDescent="0.25">
      <c r="A26" s="19" t="s">
        <v>18</v>
      </c>
      <c r="B26" s="14" t="s">
        <v>21</v>
      </c>
      <c r="C26" s="13">
        <v>7172.8</v>
      </c>
      <c r="D26" s="1">
        <v>12.252199269768923</v>
      </c>
      <c r="E26" s="1">
        <v>12.7422872405596</v>
      </c>
      <c r="F26" s="4">
        <f t="shared" si="0"/>
        <v>3.9999999999993485E-2</v>
      </c>
      <c r="G26" s="21">
        <f t="shared" si="1"/>
        <v>91397.877919085906</v>
      </c>
      <c r="H26" s="14" t="s">
        <v>21</v>
      </c>
      <c r="I26" s="13">
        <v>879.2</v>
      </c>
      <c r="J26" s="1">
        <v>12.252199269768923</v>
      </c>
      <c r="K26" s="1">
        <v>12.7422872405596</v>
      </c>
      <c r="L26" s="4">
        <f t="shared" si="12"/>
        <v>3.9999999999993485E-2</v>
      </c>
      <c r="M26" s="21">
        <f t="shared" si="13"/>
        <v>11203.018941900002</v>
      </c>
      <c r="N26" s="14" t="s">
        <v>21</v>
      </c>
      <c r="O26" s="13">
        <v>2150.25</v>
      </c>
      <c r="P26" s="1">
        <v>12.252199269768923</v>
      </c>
      <c r="Q26" s="1">
        <v>12.7422872405596</v>
      </c>
      <c r="R26" s="4">
        <f t="shared" si="2"/>
        <v>3.9999999999993485E-2</v>
      </c>
      <c r="S26" s="21">
        <f>SUM(O26*Q26)</f>
        <v>27399.103139013281</v>
      </c>
      <c r="T26" s="11">
        <f t="shared" si="16"/>
        <v>365.32137518684374</v>
      </c>
      <c r="U26" s="30">
        <v>130000</v>
      </c>
      <c r="V26" s="36">
        <f t="shared" si="6"/>
        <v>390000</v>
      </c>
      <c r="W26" s="11">
        <f t="shared" si="7"/>
        <v>780000</v>
      </c>
      <c r="X26" s="13">
        <f t="shared" si="3"/>
        <v>1170000</v>
      </c>
      <c r="Y26" s="21">
        <f t="shared" si="4"/>
        <v>1560000</v>
      </c>
      <c r="Z26" s="9">
        <v>126236.31</v>
      </c>
      <c r="AA26" s="9">
        <v>779464.61</v>
      </c>
      <c r="AB26" s="11">
        <v>48697.89</v>
      </c>
      <c r="AC26" s="11">
        <v>713551.2</v>
      </c>
      <c r="AD26" s="10">
        <f t="shared" si="8"/>
        <v>1667950.0099999998</v>
      </c>
    </row>
    <row r="27" spans="1:38" x14ac:dyDescent="0.25">
      <c r="A27" s="19" t="s">
        <v>19</v>
      </c>
      <c r="B27" s="14" t="s">
        <v>21</v>
      </c>
      <c r="C27" s="13">
        <v>7172.8</v>
      </c>
      <c r="D27" s="1">
        <v>1.8378298904653385</v>
      </c>
      <c r="E27" s="1">
        <v>1.8378298904653385</v>
      </c>
      <c r="F27" s="4">
        <f t="shared" si="0"/>
        <v>0</v>
      </c>
      <c r="G27" s="21">
        <f t="shared" si="1"/>
        <v>13182.38623832978</v>
      </c>
      <c r="H27" s="14" t="s">
        <v>21</v>
      </c>
      <c r="I27" s="13">
        <v>879.2</v>
      </c>
      <c r="J27" s="1">
        <v>1.8378298904653385</v>
      </c>
      <c r="K27" s="1">
        <v>1.8378298904653385</v>
      </c>
      <c r="L27" s="4">
        <f t="shared" si="12"/>
        <v>0</v>
      </c>
      <c r="M27" s="21">
        <f t="shared" si="13"/>
        <v>1615.8200396971256</v>
      </c>
      <c r="N27" s="14" t="s">
        <v>21</v>
      </c>
      <c r="O27" s="13">
        <v>2150.25</v>
      </c>
      <c r="P27" s="1">
        <v>1.8378298904653385</v>
      </c>
      <c r="Q27" s="1">
        <v>1.8378298904653385</v>
      </c>
      <c r="R27" s="4">
        <f t="shared" si="2"/>
        <v>0</v>
      </c>
      <c r="S27" s="21">
        <f>SUM(O27*Q27)</f>
        <v>3951.7937219730943</v>
      </c>
      <c r="T27" s="11">
        <f t="shared" si="16"/>
        <v>52.690582959641262</v>
      </c>
      <c r="U27" s="30">
        <v>18750</v>
      </c>
      <c r="V27" s="36">
        <f t="shared" si="6"/>
        <v>56250</v>
      </c>
      <c r="W27" s="11">
        <f t="shared" si="7"/>
        <v>112500</v>
      </c>
      <c r="X27" s="13">
        <f t="shared" si="3"/>
        <v>168750</v>
      </c>
      <c r="Y27" s="21">
        <f t="shared" si="4"/>
        <v>225000</v>
      </c>
      <c r="Z27" s="9">
        <v>90839.45</v>
      </c>
      <c r="AA27" s="9">
        <v>122823.45</v>
      </c>
      <c r="AB27" s="11">
        <v>62649.51</v>
      </c>
      <c r="AC27" s="11">
        <v>499591.56</v>
      </c>
      <c r="AD27" s="10">
        <f t="shared" si="8"/>
        <v>775903.97</v>
      </c>
    </row>
    <row r="28" spans="1:38" ht="30" x14ac:dyDescent="0.25">
      <c r="A28" s="19" t="s">
        <v>38</v>
      </c>
      <c r="B28" s="14" t="s">
        <v>21</v>
      </c>
      <c r="C28" s="13">
        <v>7172.8</v>
      </c>
      <c r="D28" s="1">
        <v>0.4</v>
      </c>
      <c r="E28" s="1">
        <v>0.4</v>
      </c>
      <c r="F28" s="4">
        <f t="shared" si="0"/>
        <v>0</v>
      </c>
      <c r="G28" s="21">
        <f t="shared" si="1"/>
        <v>2869.1200000000003</v>
      </c>
      <c r="H28" s="14" t="s">
        <v>21</v>
      </c>
      <c r="I28" s="13">
        <v>879.2</v>
      </c>
      <c r="J28" s="1">
        <v>5.1051775074683503</v>
      </c>
      <c r="K28" s="1">
        <v>5.1051775074683503</v>
      </c>
      <c r="L28" s="4">
        <f t="shared" si="12"/>
        <v>0</v>
      </c>
      <c r="M28" s="21">
        <f t="shared" si="13"/>
        <v>4488.4720645661737</v>
      </c>
      <c r="N28" s="14" t="s">
        <v>21</v>
      </c>
      <c r="O28" s="13">
        <v>2150.25</v>
      </c>
      <c r="P28" s="1">
        <v>5.1051775074683503</v>
      </c>
      <c r="Q28" s="1">
        <v>5.1051775074683503</v>
      </c>
      <c r="R28" s="4">
        <f t="shared" si="2"/>
        <v>0</v>
      </c>
      <c r="S28" s="21">
        <f>SUM(O28*Q28)</f>
        <v>10977.407935433821</v>
      </c>
      <c r="T28" s="11">
        <f t="shared" si="16"/>
        <v>146.36543913911763</v>
      </c>
      <c r="U28" s="30">
        <v>18334.999999999993</v>
      </c>
      <c r="V28" s="36">
        <f t="shared" si="6"/>
        <v>55004.999999999978</v>
      </c>
      <c r="W28" s="11">
        <f t="shared" si="7"/>
        <v>110009.99999999996</v>
      </c>
      <c r="X28" s="13">
        <f t="shared" si="3"/>
        <v>165014.99999999994</v>
      </c>
      <c r="Y28" s="21">
        <f t="shared" si="4"/>
        <v>220019.99999999991</v>
      </c>
      <c r="Z28" s="9">
        <v>45000</v>
      </c>
      <c r="AA28" s="9">
        <v>45000</v>
      </c>
      <c r="AB28" s="11">
        <v>100680</v>
      </c>
      <c r="AC28" s="9">
        <v>45000</v>
      </c>
      <c r="AD28" s="10">
        <f t="shared" si="8"/>
        <v>235680</v>
      </c>
    </row>
    <row r="29" spans="1:38" x14ac:dyDescent="0.25">
      <c r="A29" s="15" t="s">
        <v>13</v>
      </c>
      <c r="B29" s="14" t="s">
        <v>21</v>
      </c>
      <c r="C29" s="13">
        <v>4115.2</v>
      </c>
      <c r="D29" s="1">
        <v>1.084727733338932</v>
      </c>
      <c r="E29" s="1">
        <v>1.084727733338932</v>
      </c>
      <c r="F29" s="4">
        <f t="shared" si="0"/>
        <v>0</v>
      </c>
      <c r="G29" s="21">
        <f t="shared" si="1"/>
        <v>4463.8715682363727</v>
      </c>
      <c r="H29" s="14" t="s">
        <v>21</v>
      </c>
      <c r="I29" s="13">
        <v>879.2</v>
      </c>
      <c r="J29" s="1">
        <v>1.084727733338932</v>
      </c>
      <c r="K29" s="1">
        <v>1.084727733338932</v>
      </c>
      <c r="L29" s="4">
        <f t="shared" si="12"/>
        <v>0</v>
      </c>
      <c r="M29" s="21">
        <f t="shared" si="13"/>
        <v>953.69262315158903</v>
      </c>
      <c r="N29" s="14" t="s">
        <v>21</v>
      </c>
      <c r="O29" s="13">
        <v>2150.25</v>
      </c>
      <c r="P29" s="1">
        <v>1.084727733338932</v>
      </c>
      <c r="Q29" s="1">
        <v>1.084727733338932</v>
      </c>
      <c r="R29" s="4">
        <f t="shared" si="2"/>
        <v>0</v>
      </c>
      <c r="S29" s="21">
        <f>SUM(O29*Q29)</f>
        <v>2332.4358086120387</v>
      </c>
      <c r="T29" s="11">
        <f t="shared" si="16"/>
        <v>31.099144114827183</v>
      </c>
      <c r="U29" s="30">
        <v>7750</v>
      </c>
      <c r="V29" s="36">
        <f t="shared" si="6"/>
        <v>23250</v>
      </c>
      <c r="W29" s="11">
        <f t="shared" si="7"/>
        <v>46500</v>
      </c>
      <c r="X29" s="13">
        <f t="shared" si="3"/>
        <v>69750</v>
      </c>
      <c r="Y29" s="21">
        <f t="shared" si="4"/>
        <v>93000</v>
      </c>
      <c r="Z29" s="11"/>
      <c r="AA29" s="11">
        <v>46500</v>
      </c>
      <c r="AB29" s="11"/>
      <c r="AC29" s="11">
        <v>46500</v>
      </c>
      <c r="AD29" s="10">
        <f t="shared" si="8"/>
        <v>93000</v>
      </c>
    </row>
    <row r="30" spans="1:38" x14ac:dyDescent="0.25">
      <c r="A30" s="15" t="s">
        <v>56</v>
      </c>
      <c r="B30" s="14" t="s">
        <v>21</v>
      </c>
      <c r="C30" s="13">
        <v>7172.8</v>
      </c>
      <c r="D30" s="1">
        <v>0.57160383671648451</v>
      </c>
      <c r="E30" s="1">
        <v>0.57160383671648451</v>
      </c>
      <c r="F30" s="4">
        <f t="shared" si="0"/>
        <v>0</v>
      </c>
      <c r="G30" s="21">
        <f t="shared" si="1"/>
        <v>4100</v>
      </c>
      <c r="H30" s="14" t="s">
        <v>21</v>
      </c>
      <c r="I30" s="13">
        <v>879.2</v>
      </c>
      <c r="J30" s="1"/>
      <c r="K30" s="1"/>
      <c r="L30" s="4"/>
      <c r="M30" s="21">
        <f t="shared" si="13"/>
        <v>0</v>
      </c>
      <c r="N30" s="14" t="s">
        <v>21</v>
      </c>
      <c r="O30" s="13">
        <v>2150.25</v>
      </c>
      <c r="P30" s="1"/>
      <c r="Q30" s="1"/>
      <c r="R30" s="4"/>
      <c r="S30" s="22"/>
      <c r="T30" s="11"/>
      <c r="U30" s="30">
        <v>4100</v>
      </c>
      <c r="V30" s="36">
        <f t="shared" si="6"/>
        <v>12300</v>
      </c>
      <c r="W30" s="11">
        <f t="shared" si="7"/>
        <v>24600</v>
      </c>
      <c r="X30" s="13">
        <f t="shared" si="3"/>
        <v>36900</v>
      </c>
      <c r="Y30" s="21">
        <f t="shared" si="4"/>
        <v>49200</v>
      </c>
      <c r="Z30" s="9">
        <v>12300</v>
      </c>
      <c r="AA30" s="9">
        <v>12300</v>
      </c>
      <c r="AB30" s="11">
        <v>12300</v>
      </c>
      <c r="AC30" s="11">
        <v>12300</v>
      </c>
      <c r="AD30" s="10">
        <f t="shared" si="8"/>
        <v>49200</v>
      </c>
    </row>
    <row r="31" spans="1:38" x14ac:dyDescent="0.25">
      <c r="A31" s="15" t="s">
        <v>16</v>
      </c>
      <c r="B31" s="14" t="s">
        <v>21</v>
      </c>
      <c r="C31" s="13">
        <v>7172.8</v>
      </c>
      <c r="D31" s="1">
        <v>1.0928961748633881</v>
      </c>
      <c r="E31" s="1">
        <v>1.0928961748633881</v>
      </c>
      <c r="F31" s="4">
        <f t="shared" ref="F31" si="17">(E31-D31)/D31</f>
        <v>0</v>
      </c>
      <c r="G31" s="21">
        <f t="shared" ref="G31:G32" si="18">SUM(C31*E31)</f>
        <v>7839.1256830601105</v>
      </c>
      <c r="H31" s="14" t="s">
        <v>21</v>
      </c>
      <c r="I31" s="13">
        <v>879.2</v>
      </c>
      <c r="J31" s="1">
        <v>1.0928961748633881</v>
      </c>
      <c r="K31" s="1">
        <v>1.0928961748633881</v>
      </c>
      <c r="L31" s="4">
        <f t="shared" ref="L31:L32" si="19">(K31-J31)/J31</f>
        <v>0</v>
      </c>
      <c r="M31" s="21">
        <f t="shared" ref="M31:M32" si="20">SUM(I31*K31)</f>
        <v>960.87431693989083</v>
      </c>
      <c r="N31" s="14" t="s">
        <v>21</v>
      </c>
      <c r="O31" s="13">
        <v>2150.25</v>
      </c>
      <c r="P31" s="1"/>
      <c r="Q31" s="1"/>
      <c r="R31" s="4"/>
      <c r="S31" s="22"/>
      <c r="T31" s="11"/>
      <c r="U31" s="30">
        <v>8800</v>
      </c>
      <c r="V31" s="36">
        <f t="shared" si="6"/>
        <v>26400</v>
      </c>
      <c r="W31" s="11">
        <f t="shared" si="7"/>
        <v>52800</v>
      </c>
      <c r="X31" s="13">
        <f t="shared" si="3"/>
        <v>79200</v>
      </c>
      <c r="Y31" s="21">
        <f t="shared" si="4"/>
        <v>105600</v>
      </c>
      <c r="Z31" s="9">
        <v>26400</v>
      </c>
      <c r="AA31" s="9">
        <v>26400</v>
      </c>
      <c r="AB31" s="9">
        <v>26400</v>
      </c>
      <c r="AC31" s="11">
        <v>26400</v>
      </c>
      <c r="AD31" s="10">
        <f>SUM(Z31,AA31,AB31,AC31)</f>
        <v>105600</v>
      </c>
    </row>
    <row r="32" spans="1:38" x14ac:dyDescent="0.25">
      <c r="A32" s="15" t="s">
        <v>3</v>
      </c>
      <c r="B32" s="14" t="s">
        <v>21</v>
      </c>
      <c r="C32" s="13">
        <v>7172.8</v>
      </c>
      <c r="D32" s="1">
        <v>0.11435418657649049</v>
      </c>
      <c r="E32" s="1">
        <v>7.8793403415913205E-2</v>
      </c>
      <c r="F32" s="4">
        <f>(E32-D32)/D32</f>
        <v>-0.31097054008417085</v>
      </c>
      <c r="G32" s="21">
        <f t="shared" si="18"/>
        <v>565.16932402166231</v>
      </c>
      <c r="H32" s="14" t="s">
        <v>21</v>
      </c>
      <c r="I32" s="13">
        <v>879.2</v>
      </c>
      <c r="J32" s="1">
        <v>0.11435418657649049</v>
      </c>
      <c r="K32" s="1">
        <v>7.8793403415913205E-2</v>
      </c>
      <c r="L32" s="4">
        <f t="shared" si="19"/>
        <v>-0.31097054008417085</v>
      </c>
      <c r="M32" s="21">
        <f t="shared" si="20"/>
        <v>69.275160283270893</v>
      </c>
      <c r="N32" s="14" t="s">
        <v>21</v>
      </c>
      <c r="O32" s="13">
        <v>2150.25</v>
      </c>
      <c r="P32" s="1">
        <v>0.11435418657649049</v>
      </c>
      <c r="Q32" s="1">
        <v>7.8793403415913205E-2</v>
      </c>
      <c r="R32" s="4">
        <f t="shared" ref="R32" si="21">(Q32-P32)/P32</f>
        <v>-0.31097054008417085</v>
      </c>
      <c r="S32" s="21">
        <f>SUM(O32*Q32)</f>
        <v>169.42551569506736</v>
      </c>
      <c r="T32" s="11">
        <f t="shared" ref="T32" si="22">SUM(Q32)*28.67</f>
        <v>2.2590068759342317</v>
      </c>
      <c r="U32" s="30">
        <v>803.87</v>
      </c>
      <c r="V32" s="36">
        <f t="shared" si="6"/>
        <v>2411.61</v>
      </c>
      <c r="W32" s="11">
        <f t="shared" si="7"/>
        <v>4823.22</v>
      </c>
      <c r="X32" s="13">
        <f t="shared" si="3"/>
        <v>7234.83</v>
      </c>
      <c r="Y32" s="21">
        <f t="shared" si="4"/>
        <v>9646.44</v>
      </c>
      <c r="Z32" s="9">
        <v>4222.8500000000004</v>
      </c>
      <c r="AA32" s="9">
        <v>3688.27</v>
      </c>
      <c r="AB32" s="11">
        <v>3346.81</v>
      </c>
      <c r="AC32" s="11">
        <v>1832.07</v>
      </c>
      <c r="AD32" s="10">
        <f t="shared" si="8"/>
        <v>13090</v>
      </c>
    </row>
    <row r="33" spans="1:30" x14ac:dyDescent="0.25">
      <c r="A33" s="15"/>
      <c r="B33" s="15"/>
      <c r="C33" s="36"/>
      <c r="D33" s="36"/>
      <c r="E33" s="36"/>
      <c r="F33" s="4"/>
      <c r="G33" s="22"/>
      <c r="H33" s="15"/>
      <c r="I33" s="36"/>
      <c r="J33" s="36"/>
      <c r="K33" s="36"/>
      <c r="L33" s="4"/>
      <c r="M33" s="22"/>
      <c r="N33" s="15"/>
      <c r="O33" s="13"/>
      <c r="P33" s="36"/>
      <c r="Q33" s="36"/>
      <c r="R33" s="4"/>
      <c r="S33" s="21"/>
      <c r="T33" s="11"/>
      <c r="U33" s="5"/>
      <c r="V33" s="36"/>
      <c r="W33" s="5"/>
      <c r="X33" s="36"/>
      <c r="Y33" s="22"/>
      <c r="Z33" s="9"/>
      <c r="AA33" s="9"/>
      <c r="AB33" s="9"/>
      <c r="AC33" s="9"/>
      <c r="AD33" s="10"/>
    </row>
    <row r="34" spans="1:30" x14ac:dyDescent="0.25">
      <c r="A34" s="31" t="s">
        <v>14</v>
      </c>
      <c r="B34" s="31" t="s">
        <v>54</v>
      </c>
      <c r="C34" s="20">
        <v>67</v>
      </c>
      <c r="D34" s="2">
        <v>96.916700000000006</v>
      </c>
      <c r="E34" s="2">
        <v>97.5</v>
      </c>
      <c r="F34" s="34">
        <f>(E34-D34)/D34</f>
        <v>6.0185705869060142E-3</v>
      </c>
      <c r="G34" s="20">
        <f>SUM(C34*E34)</f>
        <v>6532.5</v>
      </c>
      <c r="H34" s="31" t="s">
        <v>36</v>
      </c>
      <c r="I34" s="20">
        <v>879.2</v>
      </c>
      <c r="J34" s="23"/>
      <c r="K34" s="23"/>
      <c r="L34" s="34"/>
      <c r="M34" s="23"/>
      <c r="N34" s="31" t="s">
        <v>51</v>
      </c>
      <c r="O34" s="20">
        <v>2150.25</v>
      </c>
      <c r="P34" s="23"/>
      <c r="Q34" s="23"/>
      <c r="R34" s="34"/>
      <c r="S34" s="20"/>
      <c r="T34" s="20"/>
      <c r="U34" s="23">
        <f>SUM(G34)</f>
        <v>6532.5</v>
      </c>
      <c r="V34" s="23">
        <f>SUM(U34)*3</f>
        <v>19597.5</v>
      </c>
      <c r="W34" s="20">
        <f t="shared" si="7"/>
        <v>39195</v>
      </c>
      <c r="X34" s="20">
        <f t="shared" si="3"/>
        <v>58792.5</v>
      </c>
      <c r="Y34" s="20">
        <f t="shared" si="4"/>
        <v>78390</v>
      </c>
      <c r="Z34" s="27">
        <v>19597.5</v>
      </c>
      <c r="AA34" s="27">
        <v>20267.5</v>
      </c>
      <c r="AB34" s="27">
        <v>20602.5</v>
      </c>
      <c r="AC34" s="27">
        <v>20602.5</v>
      </c>
      <c r="AD34" s="27">
        <f t="shared" si="8"/>
        <v>81070</v>
      </c>
    </row>
    <row r="35" spans="1:30" x14ac:dyDescent="0.25">
      <c r="A35" s="15"/>
      <c r="B35" s="15"/>
      <c r="C35" s="36"/>
      <c r="D35" s="37"/>
      <c r="E35" s="37"/>
      <c r="F35" s="4"/>
      <c r="G35" s="22"/>
      <c r="H35" s="15"/>
      <c r="I35" s="36"/>
      <c r="J35" s="37"/>
      <c r="K35" s="37"/>
      <c r="L35" s="4"/>
      <c r="M35" s="22"/>
      <c r="N35" s="15"/>
      <c r="O35" s="13"/>
      <c r="P35" s="37"/>
      <c r="Q35" s="37"/>
      <c r="R35" s="4"/>
      <c r="S35" s="23"/>
      <c r="T35" s="18"/>
      <c r="U35" s="5"/>
      <c r="V35" s="36"/>
      <c r="W35" s="5"/>
      <c r="X35" s="36"/>
      <c r="Y35" s="22"/>
      <c r="Z35" s="11"/>
      <c r="AA35" s="11"/>
      <c r="AB35" s="11"/>
      <c r="AC35" s="11"/>
      <c r="AD35" s="10"/>
    </row>
    <row r="36" spans="1:30" x14ac:dyDescent="0.25">
      <c r="A36" s="31" t="s">
        <v>17</v>
      </c>
      <c r="B36" s="32" t="s">
        <v>21</v>
      </c>
      <c r="C36" s="20">
        <v>7172.8</v>
      </c>
      <c r="D36" s="23">
        <v>0.87</v>
      </c>
      <c r="E36" s="23">
        <v>0.87</v>
      </c>
      <c r="F36" s="34">
        <f>(E36-D36)/D36</f>
        <v>0</v>
      </c>
      <c r="G36" s="23">
        <f>SUM(C36*E36)</f>
        <v>6240.3360000000002</v>
      </c>
      <c r="H36" s="32" t="s">
        <v>21</v>
      </c>
      <c r="I36" s="20">
        <v>879.2</v>
      </c>
      <c r="J36" s="23">
        <v>0.87</v>
      </c>
      <c r="K36" s="23">
        <v>0.87</v>
      </c>
      <c r="L36" s="34">
        <f>(K36-J36)/J36</f>
        <v>0</v>
      </c>
      <c r="M36" s="20">
        <f>SUM(I36*K36)</f>
        <v>764.904</v>
      </c>
      <c r="N36" s="32" t="s">
        <v>21</v>
      </c>
      <c r="O36" s="20">
        <v>2150.25</v>
      </c>
      <c r="P36" s="23">
        <v>0.87</v>
      </c>
      <c r="Q36" s="23">
        <v>0.87</v>
      </c>
      <c r="R36" s="34">
        <f>(Q36-P36)/P36</f>
        <v>0</v>
      </c>
      <c r="S36" s="20">
        <f>SUM(O36*Q36)</f>
        <v>1870.7175</v>
      </c>
      <c r="T36" s="20">
        <f t="shared" ref="T36" si="23">SUM(Q36)*28.67</f>
        <v>24.942900000000002</v>
      </c>
      <c r="U36" s="23">
        <f>SUM(G36,M36,S36)</f>
        <v>8875.9575000000004</v>
      </c>
      <c r="V36" s="23">
        <f>SUM(U36)*3</f>
        <v>26627.872500000001</v>
      </c>
      <c r="W36" s="20">
        <f>SUM(V36)*2</f>
        <v>53255.745000000003</v>
      </c>
      <c r="X36" s="20">
        <f>SUM(V36)*3</f>
        <v>79883.617500000008</v>
      </c>
      <c r="Y36" s="20">
        <f>SUM(V36)*4</f>
        <v>106511.49</v>
      </c>
      <c r="Z36" s="20">
        <v>26627.87</v>
      </c>
      <c r="AA36" s="20">
        <v>26627.87</v>
      </c>
      <c r="AB36" s="20">
        <v>26627.87</v>
      </c>
      <c r="AC36" s="20">
        <v>26627.87</v>
      </c>
      <c r="AD36" s="27">
        <f>SUM(Z36,AA36,AB36,AC36)</f>
        <v>106511.48</v>
      </c>
    </row>
    <row r="37" spans="1:30" x14ac:dyDescent="0.25">
      <c r="A37" s="80" t="s">
        <v>45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37">
        <f t="shared" ref="U37:AD37" si="24">SUM(U6:U36)</f>
        <v>879248.62249999971</v>
      </c>
      <c r="V37" s="37">
        <f t="shared" si="24"/>
        <v>2637745.8674999992</v>
      </c>
      <c r="W37" s="37">
        <f t="shared" si="24"/>
        <v>5275491.7349999985</v>
      </c>
      <c r="X37" s="37">
        <f t="shared" si="24"/>
        <v>7913237.6024999954</v>
      </c>
      <c r="Y37" s="37">
        <f t="shared" si="24"/>
        <v>10550983.469999997</v>
      </c>
      <c r="Z37" s="38">
        <f t="shared" si="24"/>
        <v>2026315.9000000006</v>
      </c>
      <c r="AA37" s="38">
        <f t="shared" si="24"/>
        <v>3007860.8000000003</v>
      </c>
      <c r="AB37" s="38">
        <f t="shared" si="24"/>
        <v>2231904.3600000003</v>
      </c>
      <c r="AC37" s="38">
        <f t="shared" si="24"/>
        <v>3344602.75</v>
      </c>
      <c r="AD37" s="38">
        <f t="shared" si="24"/>
        <v>10610683.810000001</v>
      </c>
    </row>
    <row r="38" spans="1:30" x14ac:dyDescent="0.25">
      <c r="A38" s="62" t="s">
        <v>84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x14ac:dyDescent="0.25">
      <c r="A39" s="80" t="s">
        <v>80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6" t="s">
        <v>81</v>
      </c>
      <c r="AA39" s="86"/>
      <c r="AB39" s="86"/>
      <c r="AC39" s="86"/>
      <c r="AD39" s="86"/>
    </row>
    <row r="40" spans="1:30" ht="45" x14ac:dyDescent="0.25">
      <c r="A40" s="6" t="s">
        <v>48</v>
      </c>
      <c r="B40" s="81" t="s">
        <v>50</v>
      </c>
      <c r="C40" s="81"/>
      <c r="D40" s="81"/>
      <c r="E40" s="81"/>
      <c r="F40" s="81" t="s">
        <v>47</v>
      </c>
      <c r="G40" s="81"/>
      <c r="H40" s="81"/>
      <c r="I40" s="81"/>
      <c r="J40" s="81"/>
      <c r="K40" s="81"/>
      <c r="L40" s="81"/>
      <c r="M40" s="81"/>
      <c r="N40" s="81" t="s">
        <v>24</v>
      </c>
      <c r="O40" s="81"/>
      <c r="P40" s="81"/>
      <c r="Q40" s="81"/>
      <c r="R40" s="81"/>
      <c r="S40" s="81"/>
      <c r="T40" s="81"/>
      <c r="U40" s="17" t="s">
        <v>33</v>
      </c>
      <c r="V40" s="39" t="s">
        <v>68</v>
      </c>
      <c r="W40" s="25" t="s">
        <v>69</v>
      </c>
      <c r="X40" s="39" t="s">
        <v>70</v>
      </c>
      <c r="Y40" s="32" t="s">
        <v>34</v>
      </c>
      <c r="Z40" s="7" t="s">
        <v>72</v>
      </c>
      <c r="AA40" s="7" t="s">
        <v>73</v>
      </c>
      <c r="AB40" s="7" t="s">
        <v>74</v>
      </c>
      <c r="AC40" s="7" t="s">
        <v>75</v>
      </c>
      <c r="AD40" s="35" t="s">
        <v>76</v>
      </c>
    </row>
    <row r="41" spans="1:30" x14ac:dyDescent="0.25">
      <c r="A41" s="26" t="s">
        <v>59</v>
      </c>
      <c r="B41" s="56" t="s">
        <v>49</v>
      </c>
      <c r="C41" s="56"/>
      <c r="D41" s="56"/>
      <c r="E41" s="56"/>
      <c r="F41" s="56">
        <v>5576.83</v>
      </c>
      <c r="G41" s="56"/>
      <c r="H41" s="56"/>
      <c r="I41" s="56"/>
      <c r="J41" s="56"/>
      <c r="K41" s="56"/>
      <c r="L41" s="56"/>
      <c r="M41" s="56"/>
      <c r="N41" s="56">
        <v>4.0599999999999996</v>
      </c>
      <c r="O41" s="56"/>
      <c r="P41" s="56"/>
      <c r="Q41" s="56"/>
      <c r="R41" s="56"/>
      <c r="S41" s="56"/>
      <c r="T41" s="56"/>
      <c r="U41" s="5">
        <f>SUM(F41*N41)</f>
        <v>22641.929799999998</v>
      </c>
      <c r="V41" s="36">
        <f>SUM(U41)*3</f>
        <v>67925.789399999994</v>
      </c>
      <c r="W41" s="5">
        <f>SUM(V41)*2</f>
        <v>135851.57879999999</v>
      </c>
      <c r="X41" s="13">
        <f t="shared" ref="X41:X46" si="25">SUM(V41)*3</f>
        <v>203777.36819999997</v>
      </c>
      <c r="Y41" s="22">
        <f>SUM(U41)*12</f>
        <v>271703.15759999998</v>
      </c>
      <c r="Z41" s="11">
        <v>57407</v>
      </c>
      <c r="AA41" s="11">
        <v>64119.58</v>
      </c>
      <c r="AB41" s="11">
        <v>90757.24</v>
      </c>
      <c r="AC41" s="11">
        <v>73615.92</v>
      </c>
      <c r="AD41" s="13">
        <f t="shared" ref="AD41" si="26">SUM(Z41,AA41,AB41,AC41)</f>
        <v>285899.74</v>
      </c>
    </row>
    <row r="42" spans="1:30" x14ac:dyDescent="0.25">
      <c r="A42" s="26" t="s">
        <v>60</v>
      </c>
      <c r="B42" s="56" t="s">
        <v>49</v>
      </c>
      <c r="C42" s="56"/>
      <c r="D42" s="56"/>
      <c r="E42" s="56"/>
      <c r="F42" s="56">
        <v>2820.5</v>
      </c>
      <c r="G42" s="56"/>
      <c r="H42" s="56"/>
      <c r="I42" s="56"/>
      <c r="J42" s="56"/>
      <c r="K42" s="56"/>
      <c r="L42" s="56"/>
      <c r="M42" s="56"/>
      <c r="N42" s="56">
        <v>2.34</v>
      </c>
      <c r="O42" s="56"/>
      <c r="P42" s="56"/>
      <c r="Q42" s="56"/>
      <c r="R42" s="56"/>
      <c r="S42" s="56"/>
      <c r="T42" s="56"/>
      <c r="U42" s="5">
        <f>SUM(F42*N42)</f>
        <v>6599.9699999999993</v>
      </c>
      <c r="V42" s="36">
        <f t="shared" ref="V42:V46" si="27">SUM(U42)*3</f>
        <v>19799.909999999996</v>
      </c>
      <c r="W42" s="5">
        <f t="shared" ref="W42:W46" si="28">SUM(V42)*2</f>
        <v>39599.819999999992</v>
      </c>
      <c r="X42" s="13">
        <f t="shared" si="25"/>
        <v>59399.729999999989</v>
      </c>
      <c r="Y42" s="22">
        <f t="shared" ref="Y42:Y45" si="29">SUM(U42)*12</f>
        <v>79199.639999999985</v>
      </c>
      <c r="Z42" s="11">
        <v>15590.16</v>
      </c>
      <c r="AA42" s="11">
        <v>18558.54</v>
      </c>
      <c r="AB42" s="11">
        <v>26200.98</v>
      </c>
      <c r="AC42" s="11">
        <v>21469.5</v>
      </c>
      <c r="AD42" s="13">
        <f t="shared" ref="AD42" si="30">SUM(Z42,AA42,AB42,AC42)</f>
        <v>81819.179999999993</v>
      </c>
    </row>
    <row r="43" spans="1:30" x14ac:dyDescent="0.25">
      <c r="A43" s="26" t="s">
        <v>41</v>
      </c>
      <c r="B43" s="56" t="s">
        <v>46</v>
      </c>
      <c r="C43" s="56"/>
      <c r="D43" s="56"/>
      <c r="E43" s="56"/>
      <c r="F43" s="56">
        <v>81.87</v>
      </c>
      <c r="G43" s="56"/>
      <c r="H43" s="56"/>
      <c r="I43" s="56"/>
      <c r="J43" s="56"/>
      <c r="K43" s="56"/>
      <c r="L43" s="56"/>
      <c r="M43" s="56"/>
      <c r="N43" s="56">
        <v>1818.29</v>
      </c>
      <c r="O43" s="56"/>
      <c r="P43" s="56"/>
      <c r="Q43" s="56"/>
      <c r="R43" s="56"/>
      <c r="S43" s="56"/>
      <c r="T43" s="56"/>
      <c r="U43" s="5">
        <f>SUM(F43*N43)</f>
        <v>148863.40230000002</v>
      </c>
      <c r="V43" s="36">
        <f t="shared" si="27"/>
        <v>446590.20690000005</v>
      </c>
      <c r="W43" s="5">
        <f t="shared" si="28"/>
        <v>893180.4138000001</v>
      </c>
      <c r="X43" s="13">
        <f t="shared" si="25"/>
        <v>1339770.6207000001</v>
      </c>
      <c r="Y43" s="22">
        <f t="shared" si="29"/>
        <v>1786360.8276000002</v>
      </c>
      <c r="Z43" s="9">
        <v>60497.97</v>
      </c>
      <c r="AA43" s="9">
        <v>359680.62</v>
      </c>
      <c r="AB43" s="9">
        <v>733405.12</v>
      </c>
      <c r="AC43" s="9">
        <v>461606.84</v>
      </c>
      <c r="AD43" s="10">
        <f>SUM(Z43,AA43,AB43,AC43)</f>
        <v>1615190.55</v>
      </c>
    </row>
    <row r="44" spans="1:30" x14ac:dyDescent="0.25">
      <c r="A44" s="26" t="s">
        <v>31</v>
      </c>
      <c r="B44" s="56" t="s">
        <v>28</v>
      </c>
      <c r="C44" s="56"/>
      <c r="D44" s="56"/>
      <c r="E44" s="56"/>
      <c r="F44" s="56">
        <v>460.42</v>
      </c>
      <c r="G44" s="56"/>
      <c r="H44" s="56"/>
      <c r="I44" s="56"/>
      <c r="J44" s="56"/>
      <c r="K44" s="56"/>
      <c r="L44" s="56"/>
      <c r="M44" s="56"/>
      <c r="N44" s="56">
        <v>32.53</v>
      </c>
      <c r="O44" s="56"/>
      <c r="P44" s="56"/>
      <c r="Q44" s="56"/>
      <c r="R44" s="56"/>
      <c r="S44" s="56"/>
      <c r="T44" s="56"/>
      <c r="U44" s="5">
        <f>SUM(F44*N44)</f>
        <v>14977.462600000001</v>
      </c>
      <c r="V44" s="36">
        <f t="shared" si="27"/>
        <v>44932.387800000004</v>
      </c>
      <c r="W44" s="5">
        <f t="shared" si="28"/>
        <v>89864.775600000008</v>
      </c>
      <c r="X44" s="13">
        <f t="shared" si="25"/>
        <v>134797.16340000002</v>
      </c>
      <c r="Y44" s="22">
        <f t="shared" si="29"/>
        <v>179729.55120000002</v>
      </c>
      <c r="Z44" s="9">
        <v>41291.74</v>
      </c>
      <c r="AA44" s="9">
        <v>50835.78</v>
      </c>
      <c r="AB44" s="9">
        <v>42874.77</v>
      </c>
      <c r="AC44" s="9">
        <v>51049.23</v>
      </c>
      <c r="AD44" s="10">
        <f>SUM(Z44,AA44,AB44,AC44)</f>
        <v>186051.52</v>
      </c>
    </row>
    <row r="45" spans="1:30" x14ac:dyDescent="0.25">
      <c r="A45" s="26" t="s">
        <v>30</v>
      </c>
      <c r="B45" s="56" t="s">
        <v>28</v>
      </c>
      <c r="C45" s="56"/>
      <c r="D45" s="56"/>
      <c r="E45" s="56"/>
      <c r="F45" s="56">
        <v>700.63</v>
      </c>
      <c r="G45" s="56"/>
      <c r="H45" s="56"/>
      <c r="I45" s="56"/>
      <c r="J45" s="56"/>
      <c r="K45" s="56"/>
      <c r="L45" s="56"/>
      <c r="M45" s="56"/>
      <c r="N45" s="56">
        <v>32.53</v>
      </c>
      <c r="O45" s="56"/>
      <c r="P45" s="56"/>
      <c r="Q45" s="56"/>
      <c r="R45" s="56"/>
      <c r="S45" s="56"/>
      <c r="T45" s="56"/>
      <c r="U45" s="5">
        <f>SUM(F45*N45)</f>
        <v>22791.493900000001</v>
      </c>
      <c r="V45" s="36">
        <f t="shared" si="27"/>
        <v>68374.481700000004</v>
      </c>
      <c r="W45" s="5">
        <f t="shared" si="28"/>
        <v>136748.96340000001</v>
      </c>
      <c r="X45" s="13">
        <f t="shared" si="25"/>
        <v>205123.44510000001</v>
      </c>
      <c r="Y45" s="22">
        <f t="shared" si="29"/>
        <v>273497.92680000002</v>
      </c>
      <c r="Z45" s="9">
        <v>65484.59</v>
      </c>
      <c r="AA45" s="9">
        <v>75472.17</v>
      </c>
      <c r="AB45" s="9">
        <v>68536.289999999994</v>
      </c>
      <c r="AC45" s="9">
        <v>78220.38</v>
      </c>
      <c r="AD45" s="10">
        <f>SUM(Z45,AA45,AB45,AC45)</f>
        <v>287713.43</v>
      </c>
    </row>
    <row r="46" spans="1:30" x14ac:dyDescent="0.25">
      <c r="A46" s="77" t="s">
        <v>82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  <c r="U46" s="23">
        <f>SUM(U41:U45)</f>
        <v>215874.25860000003</v>
      </c>
      <c r="V46" s="23">
        <f t="shared" si="27"/>
        <v>647622.77580000006</v>
      </c>
      <c r="W46" s="23">
        <f t="shared" si="28"/>
        <v>1295245.5516000001</v>
      </c>
      <c r="X46" s="20">
        <f t="shared" si="25"/>
        <v>1942868.3274000003</v>
      </c>
      <c r="Y46" s="23">
        <f>SUM(U46)*12</f>
        <v>2590491.1032000002</v>
      </c>
      <c r="Z46" s="23">
        <f>SUM(Z41:Z45)</f>
        <v>240271.46</v>
      </c>
      <c r="AA46" s="23">
        <f>SUM(AA41:AA45)</f>
        <v>568666.69000000006</v>
      </c>
      <c r="AB46" s="23">
        <f>SUM(AB41:AB45)</f>
        <v>961774.4</v>
      </c>
      <c r="AC46" s="23">
        <f>SUM(AC41:AC45)</f>
        <v>685961.87</v>
      </c>
      <c r="AD46" s="27">
        <f>SUM(Z46,AA46,AB46,AC46)</f>
        <v>2456674.42</v>
      </c>
    </row>
    <row r="47" spans="1:30" x14ac:dyDescent="0.25">
      <c r="A47" s="66" t="s">
        <v>83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8"/>
      <c r="U47" s="37">
        <f t="shared" ref="U47:AC47" si="31">SUM(U46,U37)</f>
        <v>1095122.8810999996</v>
      </c>
      <c r="V47" s="37">
        <f t="shared" si="31"/>
        <v>3285368.6432999992</v>
      </c>
      <c r="W47" s="37">
        <f t="shared" si="31"/>
        <v>6570737.2865999984</v>
      </c>
      <c r="X47" s="37">
        <f t="shared" si="31"/>
        <v>9856105.9298999961</v>
      </c>
      <c r="Y47" s="37">
        <f t="shared" si="31"/>
        <v>13141474.573199997</v>
      </c>
      <c r="Z47" s="8">
        <f t="shared" si="31"/>
        <v>2266587.3600000008</v>
      </c>
      <c r="AA47" s="8">
        <f t="shared" si="31"/>
        <v>3576527.49</v>
      </c>
      <c r="AB47" s="8">
        <f t="shared" si="31"/>
        <v>3193678.7600000002</v>
      </c>
      <c r="AC47" s="8">
        <f t="shared" si="31"/>
        <v>4030564.62</v>
      </c>
      <c r="AD47" s="8">
        <f>SUM(Z47,AA47,AB47,AC47)</f>
        <v>13067358.23</v>
      </c>
    </row>
    <row r="48" spans="1:30" x14ac:dyDescent="0.25">
      <c r="A48" s="62" t="s">
        <v>77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</row>
    <row r="49" spans="1:30" x14ac:dyDescent="0.25">
      <c r="A49" s="63" t="s">
        <v>20</v>
      </c>
      <c r="B49" s="53" t="s">
        <v>42</v>
      </c>
      <c r="C49" s="54"/>
      <c r="D49" s="54"/>
      <c r="E49" s="54"/>
      <c r="F49" s="54"/>
      <c r="G49" s="55"/>
      <c r="H49" s="53" t="s">
        <v>43</v>
      </c>
      <c r="I49" s="54"/>
      <c r="J49" s="54"/>
      <c r="K49" s="54"/>
      <c r="L49" s="54"/>
      <c r="M49" s="55"/>
      <c r="N49" s="53" t="s">
        <v>44</v>
      </c>
      <c r="O49" s="54"/>
      <c r="P49" s="54"/>
      <c r="Q49" s="54"/>
      <c r="R49" s="54"/>
      <c r="S49" s="54"/>
      <c r="T49" s="55"/>
      <c r="U49" s="72" t="s">
        <v>78</v>
      </c>
      <c r="V49" s="73"/>
      <c r="W49" s="73"/>
      <c r="X49" s="73"/>
      <c r="Y49" s="74"/>
      <c r="Z49" s="72" t="s">
        <v>79</v>
      </c>
      <c r="AA49" s="73"/>
      <c r="AB49" s="73"/>
      <c r="AC49" s="73"/>
      <c r="AD49" s="74"/>
    </row>
    <row r="50" spans="1:30" ht="45" x14ac:dyDescent="0.25">
      <c r="A50" s="64"/>
      <c r="B50" s="14" t="s">
        <v>23</v>
      </c>
      <c r="C50" s="15" t="s">
        <v>53</v>
      </c>
      <c r="D50" s="6" t="s">
        <v>58</v>
      </c>
      <c r="E50" s="15" t="s">
        <v>61</v>
      </c>
      <c r="F50" s="16" t="s">
        <v>52</v>
      </c>
      <c r="G50" s="15" t="s">
        <v>25</v>
      </c>
      <c r="H50" s="14" t="s">
        <v>22</v>
      </c>
      <c r="I50" s="15" t="s">
        <v>53</v>
      </c>
      <c r="J50" s="6" t="s">
        <v>58</v>
      </c>
      <c r="K50" s="15" t="s">
        <v>61</v>
      </c>
      <c r="L50" s="16" t="s">
        <v>52</v>
      </c>
      <c r="M50" s="14" t="s">
        <v>25</v>
      </c>
      <c r="N50" s="14" t="s">
        <v>22</v>
      </c>
      <c r="O50" s="15" t="s">
        <v>53</v>
      </c>
      <c r="P50" s="6" t="s">
        <v>58</v>
      </c>
      <c r="Q50" s="15" t="s">
        <v>61</v>
      </c>
      <c r="R50" s="16" t="s">
        <v>52</v>
      </c>
      <c r="S50" s="14" t="s">
        <v>25</v>
      </c>
      <c r="T50" s="15" t="s">
        <v>32</v>
      </c>
      <c r="U50" s="14" t="s">
        <v>33</v>
      </c>
      <c r="V50" s="7" t="s">
        <v>68</v>
      </c>
      <c r="W50" s="7" t="s">
        <v>69</v>
      </c>
      <c r="X50" s="7" t="s">
        <v>70</v>
      </c>
      <c r="Y50" s="14" t="s">
        <v>34</v>
      </c>
      <c r="Z50" s="7" t="s">
        <v>72</v>
      </c>
      <c r="AA50" s="7" t="s">
        <v>73</v>
      </c>
      <c r="AB50" s="7" t="s">
        <v>74</v>
      </c>
      <c r="AC50" s="7" t="s">
        <v>75</v>
      </c>
      <c r="AD50" s="7" t="s">
        <v>34</v>
      </c>
    </row>
    <row r="51" spans="1:30" x14ac:dyDescent="0.25">
      <c r="A51" s="65"/>
      <c r="B51" s="32" t="s">
        <v>21</v>
      </c>
      <c r="C51" s="20">
        <v>7172.8</v>
      </c>
      <c r="D51" s="23">
        <v>4.74</v>
      </c>
      <c r="E51" s="23">
        <v>8.74</v>
      </c>
      <c r="F51" s="34">
        <f>(E51-D51)/D51</f>
        <v>0.8438818565400843</v>
      </c>
      <c r="G51" s="23">
        <f>SUM(C51*E51)</f>
        <v>62690.272000000004</v>
      </c>
      <c r="H51" s="32" t="s">
        <v>21</v>
      </c>
      <c r="I51" s="20">
        <v>879.2</v>
      </c>
      <c r="J51" s="23">
        <v>4.74</v>
      </c>
      <c r="K51" s="23">
        <v>8.74</v>
      </c>
      <c r="L51" s="34">
        <f>(K51-J51)/J51</f>
        <v>0.8438818565400843</v>
      </c>
      <c r="M51" s="20">
        <f>SUM(I51*K51)</f>
        <v>7684.2080000000005</v>
      </c>
      <c r="N51" s="32" t="s">
        <v>21</v>
      </c>
      <c r="O51" s="20">
        <v>2150.25</v>
      </c>
      <c r="P51" s="23">
        <v>4.74</v>
      </c>
      <c r="Q51" s="23">
        <v>8.74</v>
      </c>
      <c r="R51" s="34">
        <f>(Q51-P51)/P51</f>
        <v>0.8438818565400843</v>
      </c>
      <c r="S51" s="20">
        <f>SUM(O51*Q51)</f>
        <v>18793.185000000001</v>
      </c>
      <c r="T51" s="20">
        <f>SUM(Q51)*28.67</f>
        <v>250.57580000000002</v>
      </c>
      <c r="U51" s="23">
        <f>SUM(G51,M51,S51)</f>
        <v>89167.665000000008</v>
      </c>
      <c r="V51" s="23">
        <f>SUM(U51)*3</f>
        <v>267502.995</v>
      </c>
      <c r="W51" s="20">
        <f>SUM(V51)*2</f>
        <v>535005.99</v>
      </c>
      <c r="X51" s="20">
        <f>SUM(V51)*3</f>
        <v>802508.98499999999</v>
      </c>
      <c r="Y51" s="20">
        <f>SUM(V51)*4</f>
        <v>1070011.98</v>
      </c>
      <c r="Z51" s="20">
        <v>267503.84999999998</v>
      </c>
      <c r="AA51" s="20">
        <v>269075.28000000003</v>
      </c>
      <c r="AB51" s="20">
        <v>328717.34999999998</v>
      </c>
      <c r="AC51" s="20">
        <v>359923.34</v>
      </c>
      <c r="AD51" s="20">
        <f>SUM(Z51,AA51,AB51,AC51)</f>
        <v>1225219.82</v>
      </c>
    </row>
    <row r="52" spans="1:30" x14ac:dyDescent="0.25">
      <c r="A52" s="66" t="s">
        <v>85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8"/>
      <c r="U52" s="37">
        <f t="shared" ref="U52:AC52" si="32">SUM(U51,U47)</f>
        <v>1184290.5460999997</v>
      </c>
      <c r="V52" s="37">
        <f t="shared" si="32"/>
        <v>3552871.6382999993</v>
      </c>
      <c r="W52" s="37">
        <f t="shared" si="32"/>
        <v>7105743.2765999986</v>
      </c>
      <c r="X52" s="37">
        <f t="shared" si="32"/>
        <v>10658614.914899996</v>
      </c>
      <c r="Y52" s="37">
        <f t="shared" si="32"/>
        <v>14211486.553199997</v>
      </c>
      <c r="Z52" s="37">
        <f t="shared" si="32"/>
        <v>2534091.2100000009</v>
      </c>
      <c r="AA52" s="37">
        <f t="shared" si="32"/>
        <v>3845602.7700000005</v>
      </c>
      <c r="AB52" s="37">
        <f t="shared" si="32"/>
        <v>3522396.1100000003</v>
      </c>
      <c r="AC52" s="37">
        <f t="shared" si="32"/>
        <v>4390487.96</v>
      </c>
      <c r="AD52" s="8">
        <f>SUM(Z52,AA52,AB52,AC52)</f>
        <v>14292578.050000001</v>
      </c>
    </row>
    <row r="53" spans="1:30" x14ac:dyDescent="0.25">
      <c r="U53" s="75" t="s">
        <v>86</v>
      </c>
      <c r="V53" s="75"/>
      <c r="W53" s="75"/>
      <c r="X53" s="75"/>
      <c r="Y53" s="75"/>
      <c r="Z53" s="75"/>
      <c r="AA53" s="75"/>
      <c r="AB53" s="75"/>
      <c r="AC53" s="75"/>
      <c r="AD53" s="75"/>
    </row>
    <row r="54" spans="1:30" x14ac:dyDescent="0.25">
      <c r="T54" s="28"/>
      <c r="U54" s="71" t="s">
        <v>88</v>
      </c>
      <c r="V54" s="71"/>
      <c r="W54" s="71"/>
      <c r="X54" s="71"/>
      <c r="Y54" s="71"/>
      <c r="Z54" s="71"/>
      <c r="AA54" s="71"/>
      <c r="AB54" s="71"/>
      <c r="AC54" s="71"/>
      <c r="AD54" s="71"/>
    </row>
    <row r="55" spans="1:30" ht="15" customHeight="1" x14ac:dyDescent="0.25">
      <c r="U55" s="57" t="s">
        <v>62</v>
      </c>
      <c r="V55" s="57"/>
      <c r="W55" s="76" t="s">
        <v>87</v>
      </c>
      <c r="X55" s="76"/>
      <c r="Y55" s="76"/>
      <c r="Z55" s="57" t="s">
        <v>63</v>
      </c>
      <c r="AA55" s="57"/>
      <c r="AB55" s="57"/>
      <c r="AC55" s="57" t="s">
        <v>64</v>
      </c>
      <c r="AD55" s="57"/>
    </row>
    <row r="56" spans="1:30" x14ac:dyDescent="0.25">
      <c r="T56" s="40"/>
      <c r="U56" s="57"/>
      <c r="V56" s="57"/>
      <c r="W56" s="76"/>
      <c r="X56" s="76"/>
      <c r="Y56" s="76"/>
      <c r="Z56" s="57"/>
      <c r="AA56" s="57"/>
      <c r="AB56" s="57"/>
      <c r="AC56" s="57"/>
      <c r="AD56" s="57"/>
    </row>
    <row r="57" spans="1:30" x14ac:dyDescent="0.25">
      <c r="U57" s="57"/>
      <c r="V57" s="57"/>
      <c r="W57" s="76"/>
      <c r="X57" s="76"/>
      <c r="Y57" s="76"/>
      <c r="Z57" s="57"/>
      <c r="AA57" s="57"/>
      <c r="AB57" s="57"/>
      <c r="AC57" s="57"/>
      <c r="AD57" s="57"/>
    </row>
    <row r="58" spans="1:30" x14ac:dyDescent="0.25">
      <c r="U58" s="57"/>
      <c r="V58" s="57"/>
      <c r="W58" s="76"/>
      <c r="X58" s="76"/>
      <c r="Y58" s="76"/>
      <c r="Z58" s="57"/>
      <c r="AA58" s="57"/>
      <c r="AB58" s="57"/>
      <c r="AC58" s="57"/>
      <c r="AD58" s="57"/>
    </row>
    <row r="59" spans="1:30" x14ac:dyDescent="0.25">
      <c r="U59" s="69">
        <v>3382679.18</v>
      </c>
      <c r="V59" s="70"/>
      <c r="W59" s="61">
        <v>3159340.94</v>
      </c>
      <c r="X59" s="61"/>
      <c r="Y59" s="61"/>
      <c r="Z59" s="61">
        <v>2264714</v>
      </c>
      <c r="AA59" s="61"/>
      <c r="AB59" s="61"/>
      <c r="AC59" s="61">
        <v>894626.94</v>
      </c>
      <c r="AD59" s="61"/>
    </row>
  </sheetData>
  <mergeCells count="49">
    <mergeCell ref="B43:E43"/>
    <mergeCell ref="N41:T41"/>
    <mergeCell ref="A39:Y39"/>
    <mergeCell ref="N40:T40"/>
    <mergeCell ref="A1:AD1"/>
    <mergeCell ref="A2:A4"/>
    <mergeCell ref="B44:E44"/>
    <mergeCell ref="A37:T37"/>
    <mergeCell ref="N43:T43"/>
    <mergeCell ref="F40:M40"/>
    <mergeCell ref="B2:G3"/>
    <mergeCell ref="H2:M3"/>
    <mergeCell ref="Z39:AD39"/>
    <mergeCell ref="U2:Y3"/>
    <mergeCell ref="Z2:AD3"/>
    <mergeCell ref="B41:E41"/>
    <mergeCell ref="B40:E40"/>
    <mergeCell ref="B42:E42"/>
    <mergeCell ref="Z59:AB59"/>
    <mergeCell ref="A48:AD48"/>
    <mergeCell ref="A49:A51"/>
    <mergeCell ref="A52:T52"/>
    <mergeCell ref="U59:V59"/>
    <mergeCell ref="AC59:AD59"/>
    <mergeCell ref="U54:AD54"/>
    <mergeCell ref="AC55:AD58"/>
    <mergeCell ref="B49:G49"/>
    <mergeCell ref="H49:M49"/>
    <mergeCell ref="U49:Y49"/>
    <mergeCell ref="Z49:AD49"/>
    <mergeCell ref="U53:AD53"/>
    <mergeCell ref="W55:Y58"/>
    <mergeCell ref="Z55:AB58"/>
    <mergeCell ref="N49:T49"/>
    <mergeCell ref="B45:E45"/>
    <mergeCell ref="U55:V58"/>
    <mergeCell ref="N2:T3"/>
    <mergeCell ref="W59:Y59"/>
    <mergeCell ref="N42:T42"/>
    <mergeCell ref="A38:AD38"/>
    <mergeCell ref="A46:T46"/>
    <mergeCell ref="A47:T47"/>
    <mergeCell ref="N44:T44"/>
    <mergeCell ref="N45:T45"/>
    <mergeCell ref="F41:M41"/>
    <mergeCell ref="F42:M42"/>
    <mergeCell ref="F43:M43"/>
    <mergeCell ref="F44:M44"/>
    <mergeCell ref="F45:M45"/>
  </mergeCells>
  <pageMargins left="0.7" right="0.7" top="0.75" bottom="0.75" header="0.3" footer="0.3"/>
  <pageSetup paperSize="9" scale="38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F6501-2362-4E14-AEF2-3DD597949C16}">
  <dimension ref="A1:F71"/>
  <sheetViews>
    <sheetView workbookViewId="0">
      <selection activeCell="M12" sqref="M12"/>
    </sheetView>
  </sheetViews>
  <sheetFormatPr defaultRowHeight="15" x14ac:dyDescent="0.25"/>
  <cols>
    <col min="1" max="1" width="7.42578125" customWidth="1"/>
    <col min="2" max="2" width="43.5703125" customWidth="1"/>
    <col min="3" max="3" width="14.28515625" customWidth="1"/>
    <col min="4" max="4" width="15" customWidth="1"/>
    <col min="5" max="5" width="26.7109375" customWidth="1"/>
    <col min="6" max="6" width="41.5703125" customWidth="1"/>
  </cols>
  <sheetData>
    <row r="1" spans="1:6" ht="18.75" x14ac:dyDescent="0.3">
      <c r="A1" s="92" t="s">
        <v>89</v>
      </c>
      <c r="B1" s="92"/>
      <c r="C1" s="92"/>
      <c r="D1" s="92"/>
      <c r="E1" s="92"/>
      <c r="F1" s="92"/>
    </row>
    <row r="2" spans="1:6" x14ac:dyDescent="0.25">
      <c r="A2" s="41"/>
      <c r="B2" s="41"/>
      <c r="C2" s="41"/>
      <c r="D2" s="41"/>
      <c r="E2" s="41"/>
      <c r="F2" s="41"/>
    </row>
    <row r="3" spans="1:6" ht="15.75" x14ac:dyDescent="0.25">
      <c r="A3" s="93" t="s">
        <v>40</v>
      </c>
      <c r="B3" s="93"/>
      <c r="C3" s="93"/>
      <c r="D3" s="93"/>
      <c r="E3" s="93"/>
      <c r="F3" s="93"/>
    </row>
    <row r="4" spans="1:6" x14ac:dyDescent="0.25">
      <c r="A4" s="41"/>
      <c r="B4" s="41"/>
      <c r="C4" s="41"/>
      <c r="D4" s="41"/>
      <c r="E4" s="41"/>
      <c r="F4" s="41"/>
    </row>
    <row r="5" spans="1:6" x14ac:dyDescent="0.25">
      <c r="A5" s="94" t="s">
        <v>90</v>
      </c>
      <c r="B5" s="94"/>
      <c r="C5" s="94"/>
      <c r="D5" s="94"/>
      <c r="E5" s="94"/>
      <c r="F5" s="94"/>
    </row>
    <row r="6" spans="1:6" x14ac:dyDescent="0.25">
      <c r="A6" s="41"/>
      <c r="B6" s="41"/>
      <c r="C6" s="41"/>
      <c r="D6" s="41"/>
      <c r="E6" s="41"/>
      <c r="F6" s="41"/>
    </row>
    <row r="7" spans="1:6" x14ac:dyDescent="0.25">
      <c r="A7" s="42" t="s">
        <v>91</v>
      </c>
      <c r="B7" s="42" t="s">
        <v>92</v>
      </c>
      <c r="C7" s="42" t="s">
        <v>93</v>
      </c>
      <c r="D7" s="42" t="s">
        <v>94</v>
      </c>
      <c r="E7" s="42" t="s">
        <v>95</v>
      </c>
      <c r="F7" s="42" t="s">
        <v>96</v>
      </c>
    </row>
    <row r="8" spans="1:6" ht="30" x14ac:dyDescent="0.25">
      <c r="A8" s="43" t="s">
        <v>97</v>
      </c>
      <c r="B8" s="42" t="s">
        <v>98</v>
      </c>
      <c r="C8" s="44">
        <f>SUM(D8)/12</f>
        <v>134668.08333333334</v>
      </c>
      <c r="D8" s="44">
        <v>1616017</v>
      </c>
      <c r="E8" s="42"/>
      <c r="F8" s="42" t="s">
        <v>99</v>
      </c>
    </row>
    <row r="9" spans="1:6" x14ac:dyDescent="0.25">
      <c r="A9" s="43" t="s">
        <v>100</v>
      </c>
      <c r="B9" s="42" t="s">
        <v>37</v>
      </c>
      <c r="C9" s="44">
        <v>8291.67</v>
      </c>
      <c r="D9" s="44">
        <f>SUM(C9)*12</f>
        <v>99500.040000000008</v>
      </c>
      <c r="E9" s="42"/>
      <c r="F9" s="42" t="s">
        <v>101</v>
      </c>
    </row>
    <row r="10" spans="1:6" ht="30" x14ac:dyDescent="0.25">
      <c r="A10" s="43" t="s">
        <v>102</v>
      </c>
      <c r="B10" s="42" t="s">
        <v>0</v>
      </c>
      <c r="C10" s="44">
        <v>1000</v>
      </c>
      <c r="D10" s="44">
        <f>SUM(C10)*12</f>
        <v>12000</v>
      </c>
      <c r="E10" s="42"/>
      <c r="F10" s="42" t="s">
        <v>101</v>
      </c>
    </row>
    <row r="11" spans="1:6" ht="45" x14ac:dyDescent="0.25">
      <c r="A11" s="43" t="s">
        <v>103</v>
      </c>
      <c r="B11" s="42" t="s">
        <v>26</v>
      </c>
      <c r="C11" s="44">
        <f>SUM(C8)*30.2%</f>
        <v>40669.761166666671</v>
      </c>
      <c r="D11" s="44">
        <f>SUM(D8)*30.2%</f>
        <v>488037.13399999996</v>
      </c>
      <c r="E11" s="42"/>
      <c r="F11" s="42" t="s">
        <v>104</v>
      </c>
    </row>
    <row r="12" spans="1:6" ht="60" x14ac:dyDescent="0.25">
      <c r="A12" s="43" t="s">
        <v>105</v>
      </c>
      <c r="B12" s="42" t="s">
        <v>4</v>
      </c>
      <c r="C12" s="44">
        <v>1791.67</v>
      </c>
      <c r="D12" s="44">
        <f>SUM(C12)*12</f>
        <v>21500.04</v>
      </c>
      <c r="E12" s="42"/>
      <c r="F12" s="42" t="s">
        <v>106</v>
      </c>
    </row>
    <row r="13" spans="1:6" ht="45" x14ac:dyDescent="0.25">
      <c r="A13" s="43" t="s">
        <v>107</v>
      </c>
      <c r="B13" s="42" t="s">
        <v>5</v>
      </c>
      <c r="C13" s="44">
        <v>4000</v>
      </c>
      <c r="D13" s="44">
        <f>SUM(C13)*12</f>
        <v>48000</v>
      </c>
      <c r="E13" s="42"/>
      <c r="F13" s="42" t="s">
        <v>108</v>
      </c>
    </row>
    <row r="14" spans="1:6" ht="30" x14ac:dyDescent="0.25">
      <c r="A14" s="43" t="s">
        <v>109</v>
      </c>
      <c r="B14" s="42" t="s">
        <v>2</v>
      </c>
      <c r="C14" s="44">
        <v>3750</v>
      </c>
      <c r="D14" s="44">
        <f>SUM(C14)*12</f>
        <v>45000</v>
      </c>
      <c r="E14" s="42"/>
      <c r="F14" s="42" t="s">
        <v>110</v>
      </c>
    </row>
    <row r="15" spans="1:6" x14ac:dyDescent="0.25">
      <c r="A15" s="43" t="s">
        <v>111</v>
      </c>
      <c r="B15" s="42" t="s">
        <v>1</v>
      </c>
      <c r="C15" s="44">
        <v>833.33</v>
      </c>
      <c r="D15" s="44">
        <f>SUM(C15)*12</f>
        <v>9999.9600000000009</v>
      </c>
      <c r="E15" s="42"/>
      <c r="F15" s="42" t="s">
        <v>101</v>
      </c>
    </row>
    <row r="16" spans="1:6" ht="30" x14ac:dyDescent="0.25">
      <c r="A16" s="43" t="s">
        <v>112</v>
      </c>
      <c r="B16" s="42" t="s">
        <v>3</v>
      </c>
      <c r="C16" s="44">
        <v>803.87</v>
      </c>
      <c r="D16" s="44">
        <f>SUM(C16)*12</f>
        <v>9646.44</v>
      </c>
      <c r="E16" s="42" t="s">
        <v>113</v>
      </c>
      <c r="F16" s="42" t="s">
        <v>114</v>
      </c>
    </row>
    <row r="17" spans="1:6" x14ac:dyDescent="0.25">
      <c r="A17" s="43"/>
      <c r="B17" s="45" t="s">
        <v>115</v>
      </c>
      <c r="C17" s="46">
        <f>SUM(C8:C16)</f>
        <v>195808.38450000001</v>
      </c>
      <c r="D17" s="46">
        <f>SUM(D8:D16)</f>
        <v>2349700.6140000001</v>
      </c>
      <c r="E17" s="42"/>
      <c r="F17" s="42"/>
    </row>
    <row r="18" spans="1:6" x14ac:dyDescent="0.25">
      <c r="A18" s="41"/>
      <c r="B18" s="41"/>
      <c r="C18" s="41"/>
      <c r="D18" s="41"/>
      <c r="E18" s="41"/>
      <c r="F18" s="41"/>
    </row>
    <row r="19" spans="1:6" x14ac:dyDescent="0.25">
      <c r="A19" s="94" t="s">
        <v>116</v>
      </c>
      <c r="B19" s="94"/>
      <c r="C19" s="94"/>
      <c r="D19" s="94"/>
      <c r="E19" s="94"/>
      <c r="F19" s="94"/>
    </row>
    <row r="20" spans="1:6" x14ac:dyDescent="0.25">
      <c r="A20" s="41"/>
      <c r="B20" s="41"/>
      <c r="C20" s="41"/>
      <c r="D20" s="41"/>
      <c r="E20" s="41"/>
      <c r="F20" s="41"/>
    </row>
    <row r="21" spans="1:6" x14ac:dyDescent="0.25">
      <c r="A21" s="42" t="s">
        <v>91</v>
      </c>
      <c r="B21" s="42" t="s">
        <v>92</v>
      </c>
      <c r="C21" s="42" t="s">
        <v>93</v>
      </c>
      <c r="D21" s="42" t="s">
        <v>94</v>
      </c>
      <c r="E21" s="42" t="s">
        <v>95</v>
      </c>
      <c r="F21" s="42" t="s">
        <v>96</v>
      </c>
    </row>
    <row r="22" spans="1:6" ht="75" x14ac:dyDescent="0.25">
      <c r="A22" s="43" t="s">
        <v>117</v>
      </c>
      <c r="B22" s="42" t="s">
        <v>15</v>
      </c>
      <c r="C22" s="44">
        <v>8109</v>
      </c>
      <c r="D22" s="44">
        <f>SUM(C22)*12</f>
        <v>97308</v>
      </c>
      <c r="E22" s="42" t="s">
        <v>118</v>
      </c>
      <c r="F22" s="42" t="s">
        <v>119</v>
      </c>
    </row>
    <row r="23" spans="1:6" ht="30" x14ac:dyDescent="0.25">
      <c r="A23" s="43" t="s">
        <v>120</v>
      </c>
      <c r="B23" s="42" t="s">
        <v>11</v>
      </c>
      <c r="C23" s="44">
        <v>1364.5</v>
      </c>
      <c r="D23" s="44">
        <f>SUM(C23)*12</f>
        <v>16374</v>
      </c>
      <c r="E23" s="42" t="s">
        <v>121</v>
      </c>
      <c r="F23" s="42" t="s">
        <v>122</v>
      </c>
    </row>
    <row r="24" spans="1:6" ht="45" x14ac:dyDescent="0.25">
      <c r="A24" s="43" t="s">
        <v>123</v>
      </c>
      <c r="B24" s="42" t="s">
        <v>7</v>
      </c>
      <c r="C24" s="44">
        <v>15000</v>
      </c>
      <c r="D24" s="44">
        <f>SUM(C24)*12</f>
        <v>180000</v>
      </c>
      <c r="E24" s="42" t="s">
        <v>124</v>
      </c>
      <c r="F24" s="42" t="s">
        <v>125</v>
      </c>
    </row>
    <row r="25" spans="1:6" ht="60" x14ac:dyDescent="0.25">
      <c r="A25" s="43" t="s">
        <v>126</v>
      </c>
      <c r="B25" s="42" t="s">
        <v>12</v>
      </c>
      <c r="C25" s="44">
        <v>25012.5</v>
      </c>
      <c r="D25" s="44">
        <f>SUM(C25)*12</f>
        <v>300150</v>
      </c>
      <c r="E25" s="42" t="s">
        <v>127</v>
      </c>
      <c r="F25" s="42" t="s">
        <v>128</v>
      </c>
    </row>
    <row r="26" spans="1:6" ht="60" x14ac:dyDescent="0.25">
      <c r="A26" s="43" t="s">
        <v>129</v>
      </c>
      <c r="B26" s="47" t="s">
        <v>10</v>
      </c>
      <c r="C26" s="48">
        <v>12108.83</v>
      </c>
      <c r="D26" s="48">
        <f>SUM(C26)*12</f>
        <v>145305.96</v>
      </c>
      <c r="E26" s="47" t="s">
        <v>130</v>
      </c>
      <c r="F26" s="47" t="s">
        <v>131</v>
      </c>
    </row>
    <row r="27" spans="1:6" ht="30" x14ac:dyDescent="0.25">
      <c r="A27" s="43" t="s">
        <v>132</v>
      </c>
      <c r="B27" s="42" t="s">
        <v>6</v>
      </c>
      <c r="C27" s="44">
        <f>SUM(D27)/12</f>
        <v>107467.75</v>
      </c>
      <c r="D27" s="44">
        <v>1289613</v>
      </c>
      <c r="E27" s="42"/>
      <c r="F27" s="42" t="s">
        <v>133</v>
      </c>
    </row>
    <row r="28" spans="1:6" ht="30" x14ac:dyDescent="0.25">
      <c r="A28" s="43" t="s">
        <v>134</v>
      </c>
      <c r="B28" s="42" t="s">
        <v>29</v>
      </c>
      <c r="C28" s="44">
        <v>2916.67</v>
      </c>
      <c r="D28" s="44">
        <f>SUM(C28)*12</f>
        <v>35000.04</v>
      </c>
      <c r="E28" s="42"/>
      <c r="F28" s="42" t="s">
        <v>101</v>
      </c>
    </row>
    <row r="29" spans="1:6" ht="30" x14ac:dyDescent="0.25">
      <c r="A29" s="43" t="s">
        <v>135</v>
      </c>
      <c r="B29" s="42" t="s">
        <v>55</v>
      </c>
      <c r="C29" s="44">
        <v>5000</v>
      </c>
      <c r="D29" s="44">
        <f>SUM(C29)*12</f>
        <v>60000</v>
      </c>
      <c r="E29" s="42"/>
      <c r="F29" s="42" t="s">
        <v>136</v>
      </c>
    </row>
    <row r="30" spans="1:6" x14ac:dyDescent="0.25">
      <c r="A30" s="43" t="s">
        <v>137</v>
      </c>
      <c r="B30" s="42" t="s">
        <v>138</v>
      </c>
      <c r="C30" s="44">
        <v>18750</v>
      </c>
      <c r="D30" s="44">
        <f>SUM(C30)*12</f>
        <v>225000</v>
      </c>
      <c r="E30" s="42"/>
      <c r="F30" s="42" t="s">
        <v>101</v>
      </c>
    </row>
    <row r="31" spans="1:6" ht="45" x14ac:dyDescent="0.25">
      <c r="A31" s="43" t="s">
        <v>139</v>
      </c>
      <c r="B31" s="42" t="s">
        <v>27</v>
      </c>
      <c r="C31" s="44">
        <f>SUM(C27)*30.2%</f>
        <v>32455.2605</v>
      </c>
      <c r="D31" s="44">
        <f>SUM(D27)*30.2%</f>
        <v>389463.12599999999</v>
      </c>
      <c r="E31" s="42"/>
      <c r="F31" s="42" t="s">
        <v>140</v>
      </c>
    </row>
    <row r="32" spans="1:6" ht="60" x14ac:dyDescent="0.25">
      <c r="A32" s="43" t="s">
        <v>141</v>
      </c>
      <c r="B32" s="42" t="s">
        <v>8</v>
      </c>
      <c r="C32" s="44">
        <v>231000</v>
      </c>
      <c r="D32" s="44">
        <f t="shared" ref="D32:D37" si="0">SUM(C32)*12</f>
        <v>2772000</v>
      </c>
      <c r="E32" s="42" t="s">
        <v>142</v>
      </c>
      <c r="F32" s="42" t="s">
        <v>143</v>
      </c>
    </row>
    <row r="33" spans="1:6" ht="75" x14ac:dyDescent="0.25">
      <c r="A33" s="43" t="s">
        <v>144</v>
      </c>
      <c r="B33" s="42" t="s">
        <v>9</v>
      </c>
      <c r="C33" s="44">
        <v>21112.27</v>
      </c>
      <c r="D33" s="44">
        <f t="shared" si="0"/>
        <v>253347.24</v>
      </c>
      <c r="E33" s="42" t="s">
        <v>145</v>
      </c>
      <c r="F33" s="42" t="s">
        <v>146</v>
      </c>
    </row>
    <row r="34" spans="1:6" x14ac:dyDescent="0.25">
      <c r="A34" s="43" t="s">
        <v>147</v>
      </c>
      <c r="B34" s="42" t="s">
        <v>18</v>
      </c>
      <c r="C34" s="44">
        <v>130000</v>
      </c>
      <c r="D34" s="44">
        <f t="shared" si="0"/>
        <v>1560000</v>
      </c>
      <c r="E34" s="42"/>
      <c r="F34" s="95" t="s">
        <v>148</v>
      </c>
    </row>
    <row r="35" spans="1:6" x14ac:dyDescent="0.25">
      <c r="A35" s="43" t="s">
        <v>149</v>
      </c>
      <c r="B35" s="42" t="s">
        <v>19</v>
      </c>
      <c r="C35" s="44">
        <v>18750</v>
      </c>
      <c r="D35" s="44">
        <f>SUM(C35)*12</f>
        <v>225000</v>
      </c>
      <c r="E35" s="42"/>
      <c r="F35" s="96"/>
    </row>
    <row r="36" spans="1:6" ht="60" x14ac:dyDescent="0.25">
      <c r="A36" s="43" t="s">
        <v>150</v>
      </c>
      <c r="B36" s="42" t="s">
        <v>151</v>
      </c>
      <c r="C36" s="44">
        <v>18335</v>
      </c>
      <c r="D36" s="44">
        <f t="shared" si="0"/>
        <v>220020</v>
      </c>
      <c r="E36" s="42" t="s">
        <v>152</v>
      </c>
      <c r="F36" s="42" t="s">
        <v>153</v>
      </c>
    </row>
    <row r="37" spans="1:6" ht="30" x14ac:dyDescent="0.25">
      <c r="A37" s="43" t="s">
        <v>154</v>
      </c>
      <c r="B37" s="42" t="s">
        <v>13</v>
      </c>
      <c r="C37" s="44">
        <v>7750</v>
      </c>
      <c r="D37" s="44">
        <f t="shared" si="0"/>
        <v>93000</v>
      </c>
      <c r="E37" s="42" t="s">
        <v>155</v>
      </c>
      <c r="F37" s="42" t="s">
        <v>156</v>
      </c>
    </row>
    <row r="38" spans="1:6" ht="30" x14ac:dyDescent="0.25">
      <c r="A38" s="43" t="s">
        <v>157</v>
      </c>
      <c r="B38" s="42" t="s">
        <v>56</v>
      </c>
      <c r="C38" s="44">
        <v>4100</v>
      </c>
      <c r="D38" s="44">
        <f>SUM(C38)*12</f>
        <v>49200</v>
      </c>
      <c r="E38" s="42" t="s">
        <v>158</v>
      </c>
      <c r="F38" s="42" t="s">
        <v>159</v>
      </c>
    </row>
    <row r="39" spans="1:6" ht="30" x14ac:dyDescent="0.25">
      <c r="A39" s="43" t="s">
        <v>160</v>
      </c>
      <c r="B39" s="42" t="s">
        <v>16</v>
      </c>
      <c r="C39" s="44">
        <v>8800</v>
      </c>
      <c r="D39" s="44">
        <f>SUM(C39)*12</f>
        <v>105600</v>
      </c>
      <c r="E39" s="42" t="s">
        <v>161</v>
      </c>
      <c r="F39" s="42" t="s">
        <v>162</v>
      </c>
    </row>
    <row r="40" spans="1:6" x14ac:dyDescent="0.25">
      <c r="A40" s="45"/>
      <c r="B40" s="45" t="s">
        <v>115</v>
      </c>
      <c r="C40" s="46">
        <f>SUM(C22:C39)</f>
        <v>668031.78050000011</v>
      </c>
      <c r="D40" s="46">
        <f>SUM(D22:D39)</f>
        <v>8016381.3660000004</v>
      </c>
      <c r="E40" s="45"/>
      <c r="F40" s="45"/>
    </row>
    <row r="41" spans="1:6" x14ac:dyDescent="0.25">
      <c r="A41" s="45"/>
      <c r="B41" s="45" t="s">
        <v>163</v>
      </c>
      <c r="C41" s="46">
        <f>SUM(C17,C40)</f>
        <v>863840.16500000015</v>
      </c>
      <c r="D41" s="46">
        <f>SUM(D17,D40)</f>
        <v>10366081.98</v>
      </c>
      <c r="E41" s="45"/>
      <c r="F41" s="45"/>
    </row>
    <row r="42" spans="1:6" x14ac:dyDescent="0.25">
      <c r="A42" s="41"/>
      <c r="B42" s="41"/>
      <c r="C42" s="41"/>
      <c r="D42" s="41"/>
      <c r="E42" s="41"/>
      <c r="F42" s="41"/>
    </row>
    <row r="43" spans="1:6" x14ac:dyDescent="0.25">
      <c r="A43" s="97" t="s">
        <v>164</v>
      </c>
      <c r="B43" s="97"/>
      <c r="C43" s="97"/>
      <c r="D43" s="97"/>
      <c r="E43" s="97"/>
      <c r="F43" s="97"/>
    </row>
    <row r="44" spans="1:6" x14ac:dyDescent="0.25">
      <c r="A44" s="41"/>
      <c r="B44" s="41"/>
      <c r="C44" s="41"/>
      <c r="D44" s="41"/>
      <c r="E44" s="41"/>
      <c r="F44" s="41"/>
    </row>
    <row r="45" spans="1:6" x14ac:dyDescent="0.25">
      <c r="A45" s="42" t="s">
        <v>91</v>
      </c>
      <c r="B45" s="42" t="s">
        <v>92</v>
      </c>
      <c r="C45" s="42" t="s">
        <v>93</v>
      </c>
      <c r="D45" s="42" t="s">
        <v>94</v>
      </c>
      <c r="E45" s="42" t="s">
        <v>95</v>
      </c>
      <c r="F45" s="42" t="s">
        <v>96</v>
      </c>
    </row>
    <row r="46" spans="1:6" ht="45" x14ac:dyDescent="0.25">
      <c r="A46" s="43" t="s">
        <v>165</v>
      </c>
      <c r="B46" s="42" t="s">
        <v>14</v>
      </c>
      <c r="C46" s="44">
        <v>6532.5</v>
      </c>
      <c r="D46" s="44">
        <f>SUM(C46)*12</f>
        <v>78390</v>
      </c>
      <c r="E46" s="42" t="s">
        <v>166</v>
      </c>
      <c r="F46" s="42" t="s">
        <v>167</v>
      </c>
    </row>
    <row r="47" spans="1:6" x14ac:dyDescent="0.25">
      <c r="A47" s="41"/>
      <c r="B47" s="41"/>
      <c r="C47" s="41"/>
      <c r="D47" s="41"/>
      <c r="E47" s="41"/>
      <c r="F47" s="41"/>
    </row>
    <row r="48" spans="1:6" x14ac:dyDescent="0.25">
      <c r="A48" s="97" t="s">
        <v>168</v>
      </c>
      <c r="B48" s="97"/>
      <c r="C48" s="97"/>
      <c r="D48" s="97"/>
      <c r="E48" s="97"/>
      <c r="F48" s="97"/>
    </row>
    <row r="49" spans="1:6" x14ac:dyDescent="0.25">
      <c r="A49" s="41"/>
      <c r="B49" s="41"/>
      <c r="C49" s="41"/>
      <c r="D49" s="41"/>
      <c r="E49" s="41"/>
      <c r="F49" s="41"/>
    </row>
    <row r="50" spans="1:6" x14ac:dyDescent="0.25">
      <c r="A50" s="42" t="s">
        <v>91</v>
      </c>
      <c r="B50" s="42" t="s">
        <v>92</v>
      </c>
      <c r="C50" s="42" t="s">
        <v>93</v>
      </c>
      <c r="D50" s="42" t="s">
        <v>94</v>
      </c>
      <c r="E50" s="42" t="s">
        <v>95</v>
      </c>
      <c r="F50" s="42" t="s">
        <v>96</v>
      </c>
    </row>
    <row r="51" spans="1:6" ht="120" x14ac:dyDescent="0.25">
      <c r="A51" s="43" t="s">
        <v>169</v>
      </c>
      <c r="B51" s="42" t="s">
        <v>20</v>
      </c>
      <c r="C51" s="44">
        <v>89167.67</v>
      </c>
      <c r="D51" s="44">
        <f>SUM(C51)*12</f>
        <v>1070012.04</v>
      </c>
      <c r="E51" s="42"/>
      <c r="F51" s="42" t="s">
        <v>170</v>
      </c>
    </row>
    <row r="52" spans="1:6" x14ac:dyDescent="0.25">
      <c r="A52" s="41"/>
      <c r="B52" s="41"/>
      <c r="C52" s="41"/>
      <c r="D52" s="41"/>
      <c r="E52" s="41"/>
      <c r="F52" s="41"/>
    </row>
    <row r="53" spans="1:6" x14ac:dyDescent="0.25">
      <c r="A53" s="97" t="s">
        <v>171</v>
      </c>
      <c r="B53" s="97"/>
      <c r="C53" s="97"/>
      <c r="D53" s="97"/>
      <c r="E53" s="97"/>
      <c r="F53" s="97"/>
    </row>
    <row r="54" spans="1:6" x14ac:dyDescent="0.25">
      <c r="A54" s="41"/>
      <c r="B54" s="41"/>
      <c r="C54" s="41"/>
      <c r="D54" s="41"/>
      <c r="E54" s="41"/>
      <c r="F54" s="41"/>
    </row>
    <row r="55" spans="1:6" x14ac:dyDescent="0.25">
      <c r="A55" s="42" t="s">
        <v>91</v>
      </c>
      <c r="B55" s="42" t="s">
        <v>92</v>
      </c>
      <c r="C55" s="42" t="s">
        <v>93</v>
      </c>
      <c r="D55" s="42" t="s">
        <v>94</v>
      </c>
      <c r="E55" s="42" t="s">
        <v>95</v>
      </c>
      <c r="F55" s="42" t="s">
        <v>96</v>
      </c>
    </row>
    <row r="56" spans="1:6" ht="90" x14ac:dyDescent="0.25">
      <c r="A56" s="49" t="s">
        <v>172</v>
      </c>
      <c r="B56" s="42" t="s">
        <v>173</v>
      </c>
      <c r="C56" s="44">
        <v>8875.9599999999991</v>
      </c>
      <c r="D56" s="44">
        <f>SUM(C56)*12</f>
        <v>106511.51999999999</v>
      </c>
      <c r="E56" s="42"/>
      <c r="F56" s="42" t="s">
        <v>174</v>
      </c>
    </row>
    <row r="57" spans="1:6" x14ac:dyDescent="0.25">
      <c r="A57" s="41"/>
      <c r="B57" s="41"/>
      <c r="C57" s="41"/>
      <c r="D57" s="41"/>
      <c r="E57" s="41"/>
      <c r="F57" s="41"/>
    </row>
    <row r="58" spans="1:6" x14ac:dyDescent="0.25">
      <c r="A58" s="97" t="s">
        <v>175</v>
      </c>
      <c r="B58" s="97"/>
      <c r="C58" s="97"/>
      <c r="D58" s="97"/>
      <c r="E58" s="97"/>
      <c r="F58" s="97"/>
    </row>
    <row r="59" spans="1:6" x14ac:dyDescent="0.25">
      <c r="A59" s="41"/>
      <c r="B59" s="41"/>
      <c r="C59" s="41"/>
      <c r="D59" s="41"/>
      <c r="E59" s="41"/>
      <c r="F59" s="41"/>
    </row>
    <row r="60" spans="1:6" x14ac:dyDescent="0.25">
      <c r="A60" s="42" t="s">
        <v>91</v>
      </c>
      <c r="B60" s="42" t="s">
        <v>92</v>
      </c>
      <c r="C60" s="42" t="s">
        <v>93</v>
      </c>
      <c r="D60" s="42" t="s">
        <v>94</v>
      </c>
      <c r="E60" s="42" t="s">
        <v>95</v>
      </c>
      <c r="F60" s="42" t="s">
        <v>96</v>
      </c>
    </row>
    <row r="61" spans="1:6" ht="60" x14ac:dyDescent="0.25">
      <c r="A61" s="43" t="s">
        <v>176</v>
      </c>
      <c r="B61" s="42" t="s">
        <v>177</v>
      </c>
      <c r="C61" s="42" t="s">
        <v>178</v>
      </c>
      <c r="D61" s="42" t="s">
        <v>178</v>
      </c>
      <c r="E61" s="42" t="s">
        <v>179</v>
      </c>
      <c r="F61" s="42" t="s">
        <v>180</v>
      </c>
    </row>
    <row r="62" spans="1:6" x14ac:dyDescent="0.25">
      <c r="A62" s="41"/>
      <c r="B62" s="41"/>
      <c r="C62" s="41"/>
      <c r="D62" s="41"/>
      <c r="E62" s="41"/>
      <c r="F62" s="41"/>
    </row>
    <row r="63" spans="1:6" x14ac:dyDescent="0.25">
      <c r="A63" s="97" t="s">
        <v>181</v>
      </c>
      <c r="B63" s="97"/>
      <c r="C63" s="97"/>
      <c r="D63" s="97"/>
      <c r="E63" s="97"/>
      <c r="F63" s="97"/>
    </row>
    <row r="64" spans="1:6" x14ac:dyDescent="0.25">
      <c r="A64" s="41"/>
      <c r="B64" s="41"/>
      <c r="C64" s="41"/>
      <c r="D64" s="41"/>
      <c r="E64" s="41"/>
      <c r="F64" s="41"/>
    </row>
    <row r="65" spans="1:6" x14ac:dyDescent="0.25">
      <c r="A65" s="50" t="s">
        <v>91</v>
      </c>
      <c r="B65" s="50" t="s">
        <v>92</v>
      </c>
      <c r="C65" s="50" t="s">
        <v>93</v>
      </c>
      <c r="D65" s="50" t="s">
        <v>94</v>
      </c>
      <c r="E65" s="50" t="s">
        <v>95</v>
      </c>
      <c r="F65" s="50" t="s">
        <v>96</v>
      </c>
    </row>
    <row r="66" spans="1:6" ht="45" x14ac:dyDescent="0.25">
      <c r="A66" s="43" t="s">
        <v>182</v>
      </c>
      <c r="B66" s="42" t="s">
        <v>183</v>
      </c>
      <c r="C66" s="42" t="s">
        <v>178</v>
      </c>
      <c r="D66" s="42" t="s">
        <v>178</v>
      </c>
      <c r="E66" s="42" t="s">
        <v>184</v>
      </c>
      <c r="F66" s="42" t="s">
        <v>185</v>
      </c>
    </row>
    <row r="67" spans="1:6" ht="60" x14ac:dyDescent="0.25">
      <c r="A67" s="43" t="s">
        <v>186</v>
      </c>
      <c r="B67" s="42" t="s">
        <v>187</v>
      </c>
      <c r="C67" s="42" t="s">
        <v>178</v>
      </c>
      <c r="D67" s="42" t="s">
        <v>178</v>
      </c>
      <c r="E67" s="42" t="s">
        <v>188</v>
      </c>
      <c r="F67" s="42" t="s">
        <v>189</v>
      </c>
    </row>
    <row r="68" spans="1:6" x14ac:dyDescent="0.25">
      <c r="A68" s="41"/>
      <c r="B68" s="41"/>
      <c r="C68" s="41"/>
      <c r="D68" s="41"/>
      <c r="E68" s="41"/>
      <c r="F68" s="41"/>
    </row>
    <row r="69" spans="1:6" x14ac:dyDescent="0.25">
      <c r="A69" s="98" t="s">
        <v>115</v>
      </c>
      <c r="B69" s="98"/>
      <c r="C69" s="98"/>
      <c r="D69" s="98"/>
      <c r="E69" s="98"/>
      <c r="F69" s="98"/>
    </row>
    <row r="70" spans="1:6" x14ac:dyDescent="0.25">
      <c r="A70" s="41"/>
      <c r="B70" s="41"/>
      <c r="C70" s="41"/>
      <c r="D70" s="41"/>
      <c r="E70" s="41"/>
      <c r="F70" s="41"/>
    </row>
    <row r="71" spans="1:6" ht="15.75" x14ac:dyDescent="0.25">
      <c r="A71" s="51"/>
      <c r="B71" s="45" t="s">
        <v>190</v>
      </c>
      <c r="C71" s="46">
        <f>SUM(C41,C46,C51,C56)</f>
        <v>968416.29500000016</v>
      </c>
      <c r="D71" s="46">
        <f>SUM(D41,D46,D51,D56)</f>
        <v>11620995.539999999</v>
      </c>
      <c r="E71" s="90" t="s">
        <v>191</v>
      </c>
      <c r="F71" s="91"/>
    </row>
  </sheetData>
  <mergeCells count="12">
    <mergeCell ref="E71:F71"/>
    <mergeCell ref="A1:F1"/>
    <mergeCell ref="A3:F3"/>
    <mergeCell ref="A5:F5"/>
    <mergeCell ref="A19:F19"/>
    <mergeCell ref="F34:F35"/>
    <mergeCell ref="A43:F43"/>
    <mergeCell ref="A48:F48"/>
    <mergeCell ref="A53:F53"/>
    <mergeCell ref="A58:F58"/>
    <mergeCell ref="A63:F63"/>
    <mergeCell ref="A69:F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сметы</vt:lpstr>
      <vt:lpstr>План на 2020-2021 гг</vt:lpstr>
    </vt:vector>
  </TitlesOfParts>
  <Company>Zvezda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2016-06-09T16:53:14Z</cp:lastPrinted>
  <dcterms:created xsi:type="dcterms:W3CDTF">2014-05-22T15:03:02Z</dcterms:created>
  <dcterms:modified xsi:type="dcterms:W3CDTF">2023-01-25T13:11:52Z</dcterms:modified>
</cp:coreProperties>
</file>